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3250" windowHeight="11955"/>
  </bookViews>
  <sheets>
    <sheet name="Информация" sheetId="2" r:id="rId1"/>
  </sheets>
  <definedNames>
    <definedName name="_xlnm.Print_Titles" localSheetId="0">Информация!$5:$7</definedName>
  </definedNames>
  <calcPr calcId="125725"/>
</workbook>
</file>

<file path=xl/calcChain.xml><?xml version="1.0" encoding="utf-8"?>
<calcChain xmlns="http://schemas.openxmlformats.org/spreadsheetml/2006/main">
  <c r="H92" i="2"/>
  <c r="J92"/>
  <c r="J88"/>
  <c r="D87"/>
  <c r="H87"/>
  <c r="J87"/>
  <c r="J86"/>
  <c r="I65"/>
  <c r="J65" s="1"/>
  <c r="I50"/>
  <c r="D38"/>
  <c r="D33"/>
  <c r="I28"/>
  <c r="J26"/>
  <c r="B92"/>
  <c r="C92"/>
  <c r="C90"/>
  <c r="B90"/>
  <c r="C89"/>
  <c r="B89"/>
  <c r="C88"/>
  <c r="B88"/>
  <c r="C87"/>
  <c r="B87"/>
  <c r="C83"/>
  <c r="B83"/>
  <c r="B82"/>
  <c r="C79"/>
  <c r="B79"/>
  <c r="C78"/>
  <c r="B78"/>
  <c r="C77"/>
  <c r="B77"/>
  <c r="C75"/>
  <c r="B75"/>
  <c r="C74"/>
  <c r="B74"/>
  <c r="C73"/>
  <c r="B73"/>
  <c r="C72"/>
  <c r="B72"/>
  <c r="C69"/>
  <c r="B69"/>
  <c r="C62"/>
  <c r="B62"/>
  <c r="B61" s="1"/>
  <c r="C65"/>
  <c r="B65"/>
  <c r="C67"/>
  <c r="B67"/>
  <c r="C66"/>
  <c r="B66"/>
  <c r="C64"/>
  <c r="B64"/>
  <c r="C63"/>
  <c r="B63"/>
  <c r="C60" l="1"/>
  <c r="C59" s="1"/>
  <c r="B60"/>
  <c r="B59" s="1"/>
  <c r="C58"/>
  <c r="B58"/>
  <c r="C56"/>
  <c r="B56"/>
  <c r="C55"/>
  <c r="B55"/>
  <c r="C53"/>
  <c r="B53"/>
  <c r="C52"/>
  <c r="B52"/>
  <c r="C51"/>
  <c r="B51"/>
  <c r="D50"/>
  <c r="C50"/>
  <c r="B50"/>
  <c r="C49"/>
  <c r="B49"/>
  <c r="C46"/>
  <c r="B46"/>
  <c r="C43"/>
  <c r="B43"/>
  <c r="I45"/>
  <c r="F45"/>
  <c r="F42" s="1"/>
  <c r="D45"/>
  <c r="C45"/>
  <c r="B45"/>
  <c r="E31"/>
  <c r="C31"/>
  <c r="B38"/>
  <c r="D36"/>
  <c r="C36"/>
  <c r="B36"/>
  <c r="C33"/>
  <c r="B33"/>
  <c r="C39"/>
  <c r="B39"/>
  <c r="C35"/>
  <c r="B35"/>
  <c r="C34"/>
  <c r="B34"/>
  <c r="C29"/>
  <c r="B29"/>
  <c r="C26"/>
  <c r="C27"/>
  <c r="C28"/>
  <c r="C25"/>
  <c r="B25"/>
  <c r="C22"/>
  <c r="B22"/>
  <c r="C21"/>
  <c r="B21"/>
  <c r="C20"/>
  <c r="B20"/>
  <c r="C19"/>
  <c r="B19"/>
  <c r="C18"/>
  <c r="B18"/>
  <c r="C17"/>
  <c r="B17"/>
  <c r="C15"/>
  <c r="B15"/>
  <c r="C13"/>
  <c r="B13"/>
  <c r="C12"/>
  <c r="B12"/>
  <c r="C11"/>
  <c r="B11"/>
  <c r="C10"/>
  <c r="B10"/>
  <c r="C8"/>
  <c r="B8"/>
  <c r="F92"/>
  <c r="E92"/>
  <c r="F90"/>
  <c r="E90"/>
  <c r="F89"/>
  <c r="E89"/>
  <c r="F88"/>
  <c r="E88"/>
  <c r="F87"/>
  <c r="E87"/>
  <c r="E86" s="1"/>
  <c r="F86"/>
  <c r="F83"/>
  <c r="E83"/>
  <c r="F82"/>
  <c r="F81" s="1"/>
  <c r="E82"/>
  <c r="E81"/>
  <c r="F79"/>
  <c r="E79"/>
  <c r="F78"/>
  <c r="E78"/>
  <c r="F77"/>
  <c r="F76" s="1"/>
  <c r="E77"/>
  <c r="E76"/>
  <c r="F75"/>
  <c r="F71" s="1"/>
  <c r="E75"/>
  <c r="F74"/>
  <c r="E74"/>
  <c r="F73"/>
  <c r="E73"/>
  <c r="F72"/>
  <c r="E72"/>
  <c r="E71" s="1"/>
  <c r="F69"/>
  <c r="E69"/>
  <c r="E68" s="1"/>
  <c r="F68"/>
  <c r="F67"/>
  <c r="E67"/>
  <c r="F66"/>
  <c r="E66"/>
  <c r="F65"/>
  <c r="E65"/>
  <c r="F64"/>
  <c r="E64"/>
  <c r="F63"/>
  <c r="E63"/>
  <c r="F62"/>
  <c r="F61" s="1"/>
  <c r="E62"/>
  <c r="E61"/>
  <c r="F60"/>
  <c r="F59" s="1"/>
  <c r="E60"/>
  <c r="E59"/>
  <c r="F58"/>
  <c r="E58"/>
  <c r="F56"/>
  <c r="E56"/>
  <c r="F55"/>
  <c r="F54" s="1"/>
  <c r="E55"/>
  <c r="E54"/>
  <c r="F53"/>
  <c r="E53"/>
  <c r="F52"/>
  <c r="E52"/>
  <c r="F51"/>
  <c r="E51"/>
  <c r="F49"/>
  <c r="E49"/>
  <c r="E47" s="1"/>
  <c r="F47"/>
  <c r="F46"/>
  <c r="E46"/>
  <c r="E42" s="1"/>
  <c r="F44"/>
  <c r="F43"/>
  <c r="E43"/>
  <c r="F39"/>
  <c r="E39"/>
  <c r="E38"/>
  <c r="F36"/>
  <c r="E36"/>
  <c r="F35"/>
  <c r="E35"/>
  <c r="F34"/>
  <c r="E34"/>
  <c r="F33"/>
  <c r="E33"/>
  <c r="F31"/>
  <c r="F29"/>
  <c r="E29"/>
  <c r="F28"/>
  <c r="F27"/>
  <c r="F26"/>
  <c r="F25"/>
  <c r="E25"/>
  <c r="F23"/>
  <c r="E23"/>
  <c r="F22"/>
  <c r="E22"/>
  <c r="F21"/>
  <c r="E21"/>
  <c r="F20"/>
  <c r="E20"/>
  <c r="F19"/>
  <c r="E19"/>
  <c r="F18"/>
  <c r="E18"/>
  <c r="F17"/>
  <c r="E17"/>
  <c r="F15"/>
  <c r="E15"/>
  <c r="F13"/>
  <c r="E13"/>
  <c r="F12"/>
  <c r="E12"/>
  <c r="F11"/>
  <c r="E11"/>
  <c r="F10"/>
  <c r="E10"/>
  <c r="F8"/>
  <c r="E8"/>
  <c r="C86"/>
  <c r="B86"/>
  <c r="C82"/>
  <c r="C81"/>
  <c r="C76"/>
  <c r="B76"/>
  <c r="C71"/>
  <c r="B71"/>
  <c r="C68"/>
  <c r="B68"/>
  <c r="C54"/>
  <c r="C44"/>
  <c r="B54" l="1"/>
  <c r="C47"/>
  <c r="B47"/>
  <c r="B42"/>
  <c r="C42"/>
  <c r="B31"/>
  <c r="B81"/>
  <c r="C61"/>
  <c r="C23"/>
  <c r="B23"/>
  <c r="G90"/>
  <c r="G89"/>
  <c r="G88"/>
  <c r="G86"/>
  <c r="G83"/>
  <c r="G82"/>
  <c r="G81"/>
  <c r="G79"/>
  <c r="G78"/>
  <c r="G77"/>
  <c r="G76"/>
  <c r="G75"/>
  <c r="G74"/>
  <c r="G73"/>
  <c r="G72"/>
  <c r="G71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49"/>
  <c r="G47"/>
  <c r="G46"/>
  <c r="G43"/>
  <c r="G42"/>
  <c r="G39"/>
  <c r="G38"/>
  <c r="G36"/>
  <c r="G35"/>
  <c r="G34"/>
  <c r="G33"/>
  <c r="G31"/>
  <c r="G29"/>
  <c r="G25"/>
  <c r="G23"/>
  <c r="G22"/>
  <c r="G21"/>
  <c r="G20"/>
  <c r="G19"/>
  <c r="G18"/>
  <c r="G17"/>
  <c r="G15"/>
  <c r="G13"/>
  <c r="G12"/>
  <c r="G11"/>
  <c r="G10"/>
  <c r="G8"/>
  <c r="D69"/>
  <c r="H60" l="1"/>
  <c r="I92" l="1"/>
  <c r="I90"/>
  <c r="J90" s="1"/>
  <c r="I89"/>
  <c r="J89" s="1"/>
  <c r="I88"/>
  <c r="I87"/>
  <c r="I86"/>
  <c r="I85"/>
  <c r="I84"/>
  <c r="I83"/>
  <c r="J83" s="1"/>
  <c r="I81"/>
  <c r="J81" s="1"/>
  <c r="I80"/>
  <c r="I78"/>
  <c r="J78" s="1"/>
  <c r="I77"/>
  <c r="J77" s="1"/>
  <c r="I76"/>
  <c r="J76" s="1"/>
  <c r="I75"/>
  <c r="J75" s="1"/>
  <c r="I74"/>
  <c r="J74" s="1"/>
  <c r="I73"/>
  <c r="J73" s="1"/>
  <c r="I72"/>
  <c r="J72" s="1"/>
  <c r="I71"/>
  <c r="J71" s="1"/>
  <c r="I70"/>
  <c r="I69"/>
  <c r="J69" s="1"/>
  <c r="I68"/>
  <c r="J68" s="1"/>
  <c r="I67"/>
  <c r="J67" s="1"/>
  <c r="I66"/>
  <c r="J66" s="1"/>
  <c r="I64"/>
  <c r="J64" s="1"/>
  <c r="I63"/>
  <c r="J63" s="1"/>
  <c r="I62"/>
  <c r="J62" s="1"/>
  <c r="I61"/>
  <c r="J61" s="1"/>
  <c r="I60"/>
  <c r="J60" s="1"/>
  <c r="I59"/>
  <c r="J59" s="1"/>
  <c r="I58"/>
  <c r="J58" s="1"/>
  <c r="I57"/>
  <c r="I56"/>
  <c r="J56" s="1"/>
  <c r="I55"/>
  <c r="J55" s="1"/>
  <c r="I54"/>
  <c r="J54" s="1"/>
  <c r="I53"/>
  <c r="J53" s="1"/>
  <c r="I52"/>
  <c r="J52" s="1"/>
  <c r="I51"/>
  <c r="J51" s="1"/>
  <c r="I48"/>
  <c r="I47"/>
  <c r="J47" s="1"/>
  <c r="I46"/>
  <c r="J46" s="1"/>
  <c r="I44"/>
  <c r="I43"/>
  <c r="J43" s="1"/>
  <c r="I42"/>
  <c r="J42" s="1"/>
  <c r="I41"/>
  <c r="I40"/>
  <c r="I39"/>
  <c r="J39" s="1"/>
  <c r="I38"/>
  <c r="I37"/>
  <c r="I36"/>
  <c r="J36" s="1"/>
  <c r="I35"/>
  <c r="J35" s="1"/>
  <c r="I34"/>
  <c r="J34" s="1"/>
  <c r="I32"/>
  <c r="I31"/>
  <c r="J31" s="1"/>
  <c r="I29"/>
  <c r="J29" s="1"/>
  <c r="J28"/>
  <c r="I26"/>
  <c r="I25"/>
  <c r="J25" s="1"/>
  <c r="I24"/>
  <c r="I23"/>
  <c r="J23" s="1"/>
  <c r="I22"/>
  <c r="J22" s="1"/>
  <c r="I21"/>
  <c r="J21" s="1"/>
  <c r="I20"/>
  <c r="J20" s="1"/>
  <c r="I19"/>
  <c r="J19" s="1"/>
  <c r="I18"/>
  <c r="J18" s="1"/>
  <c r="I17"/>
  <c r="J17" s="1"/>
  <c r="I16"/>
  <c r="I15"/>
  <c r="J15" s="1"/>
  <c r="I14"/>
  <c r="I13"/>
  <c r="J13" s="1"/>
  <c r="I12"/>
  <c r="J12" s="1"/>
  <c r="I11"/>
  <c r="J11" s="1"/>
  <c r="I10"/>
  <c r="J10" s="1"/>
  <c r="I8"/>
  <c r="J8" s="1"/>
  <c r="D82"/>
  <c r="I82"/>
  <c r="J82" s="1"/>
  <c r="I79"/>
  <c r="J79" s="1"/>
  <c r="I49"/>
  <c r="J49" s="1"/>
  <c r="I27"/>
  <c r="D79" l="1"/>
  <c r="H25"/>
  <c r="D88"/>
  <c r="D86"/>
  <c r="D73"/>
  <c r="H86"/>
  <c r="H88"/>
  <c r="H38"/>
  <c r="D20" l="1"/>
  <c r="D89"/>
  <c r="D18"/>
  <c r="D22"/>
  <c r="D31"/>
  <c r="D35"/>
  <c r="D51"/>
  <c r="D53"/>
  <c r="D55"/>
  <c r="D59"/>
  <c r="D61"/>
  <c r="D63"/>
  <c r="D65"/>
  <c r="D67"/>
  <c r="D71"/>
  <c r="D75"/>
  <c r="D77"/>
  <c r="D25"/>
  <c r="D11"/>
  <c r="H47"/>
  <c r="D19"/>
  <c r="D21"/>
  <c r="D23"/>
  <c r="D29"/>
  <c r="D90"/>
  <c r="H82"/>
  <c r="D17"/>
  <c r="D8"/>
  <c r="D13"/>
  <c r="D15"/>
  <c r="D39"/>
  <c r="D43"/>
  <c r="D46"/>
  <c r="D10"/>
  <c r="D12"/>
  <c r="D34"/>
  <c r="D42"/>
  <c r="D47"/>
  <c r="D49"/>
  <c r="D52"/>
  <c r="D54"/>
  <c r="D56"/>
  <c r="D58"/>
  <c r="D60"/>
  <c r="D62"/>
  <c r="D66"/>
  <c r="D68"/>
  <c r="D72"/>
  <c r="D74"/>
  <c r="D76"/>
  <c r="D78"/>
  <c r="D81"/>
  <c r="D83"/>
  <c r="D64"/>
  <c r="H51"/>
  <c r="H54"/>
  <c r="H58"/>
  <c r="H83"/>
  <c r="H69"/>
  <c r="H53"/>
  <c r="H43"/>
  <c r="H35"/>
  <c r="H18"/>
  <c r="H19"/>
  <c r="H21"/>
  <c r="H74"/>
  <c r="H23"/>
  <c r="H8"/>
  <c r="H22"/>
  <c r="H59"/>
  <c r="H13"/>
  <c r="H20"/>
  <c r="H90"/>
  <c r="H89"/>
  <c r="H81"/>
  <c r="H77"/>
  <c r="H76"/>
  <c r="H75"/>
  <c r="H73"/>
  <c r="H72"/>
  <c r="H71"/>
  <c r="H68"/>
  <c r="H67"/>
  <c r="H66"/>
  <c r="H65"/>
  <c r="H64"/>
  <c r="H63"/>
  <c r="H62"/>
  <c r="H61"/>
  <c r="H56"/>
  <c r="H55"/>
  <c r="H52"/>
  <c r="H49"/>
  <c r="H46"/>
  <c r="H42"/>
  <c r="H39"/>
  <c r="H36"/>
  <c r="H34"/>
  <c r="H33"/>
  <c r="H31"/>
  <c r="H29"/>
  <c r="H17"/>
  <c r="H15"/>
  <c r="H12"/>
  <c r="H11"/>
  <c r="H10"/>
  <c r="I33"/>
  <c r="J33" s="1"/>
</calcChain>
</file>

<file path=xl/sharedStrings.xml><?xml version="1.0" encoding="utf-8"?>
<sst xmlns="http://schemas.openxmlformats.org/spreadsheetml/2006/main" count="107" uniqueCount="101">
  <si>
    <t>Наименование 
показателя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</si>
  <si>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</si>
  <si>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</si>
  <si>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</si>
  <si>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1</t>
  </si>
  <si>
    <t>6</t>
  </si>
  <si>
    <t>7</t>
  </si>
  <si>
    <t>Доходы бюджета - ИТОГО</t>
  </si>
  <si>
    <t xml:space="preserve">в том числе: </t>
  </si>
  <si>
    <t xml:space="preserve">  НАЛОГОВЫЕ И НЕНАЛОГОВЫЕ ДОХОДЫ</t>
  </si>
  <si>
    <t xml:space="preserve">  НАЛОГИ НА СОВОКУПНЫЙ ДОХОД</t>
  </si>
  <si>
    <t xml:space="preserve">  НАЛОГИ НА ИМУЩЕСТВО</t>
  </si>
  <si>
    <t xml:space="preserve">  ГОСУДАРСТВЕННАЯ ПОШЛИНА</t>
  </si>
  <si>
    <t xml:space="preserve">  ЗАДОЛЖЕННОСТЬ И ПЕРЕРАСЧЕТЫ ПО ОТМЕНЕННЫМ НАЛОГАМ, СБОРАМ И ИНЫМ ОБЯЗАТЕЛЬНЫМ ПЛАТЕЖАМ</t>
  </si>
  <si>
    <t xml:space="preserve">  ДОХОДЫ ОТ ИСПОЛЬЗОВАНИЯ ИМУЩЕСТВА, НАХОДЯЩЕГОСЯ В ГОСУДАРСТВЕННОЙ И МУНИЦИПАЛЬНОЙ СОБСТВЕННОСТИ</t>
  </si>
  <si>
    <t xml:space="preserve">  ПЛАТЕЖИ ПРИ ПОЛЬЗОВАНИИ ПРИРОДНЫМИ РЕСУРСАМИ</t>
  </si>
  <si>
    <t xml:space="preserve">  ДОХОДЫ ОТ ОКАЗАНИЯ ПЛАТНЫХ УСЛУГ (РАБОТ) И КОМПЕНСАЦИИ ЗАТРАТ ГОСУДАРСТВА</t>
  </si>
  <si>
    <t xml:space="preserve">  ДОХОДЫ ОТ ПРОДАЖИ МАТЕРИАЛЬНЫХ И НЕМАТЕРИАЛЬНЫХ АКТИВОВ</t>
  </si>
  <si>
    <t xml:space="preserve">  ШТРАФЫ, САНКЦИИ, ВОЗМЕЩЕНИЕ УЩЕРБА</t>
  </si>
  <si>
    <t xml:space="preserve">  ПРОЧИЕ НЕНАЛОГОВЫЕ ДОХОДЫ</t>
  </si>
  <si>
    <t xml:space="preserve">  БЕЗВОЗМЕЗДНЫЕ ПОСТУПЛЕНИЯ</t>
  </si>
  <si>
    <t xml:space="preserve">  БЕЗВОЗМЕЗДНЫЕ ПОСТУПЛЕНИЯ ОТ ДРУГИХ БЮДЖЕТОВ БЮДЖЕТНОЙ СИСТЕМЫ РОССИЙСКОЙ ФЕДЕРАЦИИ</t>
  </si>
  <si>
    <t xml:space="preserve">  ПРОЧИЕ БЕЗВОЗМЕЗДНЫЕ ПОСТУПЛЕНИЯ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</si>
  <si>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</si>
  <si>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</si>
  <si>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Расходы бюджета - ИТОГО</t>
  </si>
  <si>
    <t xml:space="preserve">  ОБЩЕГОСУДАРСТВЕННЫЕ ВОПРОСЫ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</si>
  <si>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</si>
  <si>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</si>
  <si>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</si>
  <si>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 Судебная система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</si>
  <si>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</si>
  <si>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 Обеспечение проведения выборов и референдумов</t>
  </si>
  <si>
    <t xml:space="preserve">  Резервные фонды</t>
  </si>
  <si>
    <t xml:space="preserve">  Другие общегосударственные вопросы</t>
  </si>
  <si>
    <t xml:space="preserve">  НАЦИОНАЛЬНАЯ ОБОРОНА</t>
  </si>
  <si>
    <t xml:space="preserve">  Мобилизационная и вневойсковая подготовка</t>
  </si>
  <si>
    <t xml:space="preserve">  НАЦИОНАЛЬНАЯ БЕЗОПАСНОСТЬ И ПРАВООХРАНИТЕЛЬНАЯ ДЕЯТЕЛЬНОСТЬ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</si>
  <si>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</si>
  <si>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 Обеспечение пожарной безопасности</t>
  </si>
  <si>
    <t xml:space="preserve">  Другие вопросы в области национальной безопасности и правоохранительной деятельности</t>
  </si>
  <si>
    <t xml:space="preserve">  НАЦИОНАЛЬНАЯ ЭКОНОМИКА</t>
  </si>
  <si>
    <t xml:space="preserve">  Топливно-энергетический комплекс</t>
  </si>
  <si>
    <t xml:space="preserve">  Сельское хозяйство и рыболовство</t>
  </si>
  <si>
    <t xml:space="preserve">  Дорожное хозяйство (дорожные фонды)</t>
  </si>
  <si>
    <t xml:space="preserve">  Связь и информатика</t>
  </si>
  <si>
    <t xml:space="preserve">  Другие вопросы в области национальной экономики</t>
  </si>
  <si>
    <t xml:space="preserve">  ЖИЛИЩНО-КОММУНАЛЬНОЕ ХОЗЯЙСТВО</t>
  </si>
  <si>
    <t xml:space="preserve">  Жилищное хозяйство</t>
  </si>
  <si>
    <t xml:space="preserve">  Коммунальное хозяйство</t>
  </si>
  <si>
    <t xml:space="preserve">  Благоустройство</t>
  </si>
  <si>
    <t xml:space="preserve">  Другие вопросы в области жилищно-коммунального хозяйства</t>
  </si>
  <si>
    <t xml:space="preserve">  ОХРАНА ОКРУЖАЮЩЕЙ СРЕДЫ</t>
  </si>
  <si>
    <t xml:space="preserve">  Другие вопросы в области охраны окружающей среды</t>
  </si>
  <si>
    <t xml:space="preserve">  ОБРАЗОВАНИЕ</t>
  </si>
  <si>
    <t xml:space="preserve">  Дошкольное образование</t>
  </si>
  <si>
    <t xml:space="preserve">  Общее образование</t>
  </si>
  <si>
    <t xml:space="preserve">  Дополнительное образование детей</t>
  </si>
  <si>
    <t xml:space="preserve">  Профессиональная подготовка, переподготовка и повышение квалификации</t>
  </si>
  <si>
    <t xml:space="preserve">  Другие вопросы в области образования</t>
  </si>
  <si>
    <t xml:space="preserve">  КУЛЬТУРА, КИНЕМАТОГРАФИЯ</t>
  </si>
  <si>
    <t xml:space="preserve">  Культура</t>
  </si>
  <si>
    <t xml:space="preserve">  Другие вопросы в области культуры, кинематографии</t>
  </si>
  <si>
    <t xml:space="preserve">  СОЦИАЛЬНАЯ ПОЛИТИКА</t>
  </si>
  <si>
    <t xml:space="preserve">  Пенсионное обеспечение</t>
  </si>
  <si>
    <t xml:space="preserve">  Социальное обеспечение населения</t>
  </si>
  <si>
    <t xml:space="preserve">  Охрана семьи и детства</t>
  </si>
  <si>
    <t xml:space="preserve">  Другие вопросы в области социальной политики</t>
  </si>
  <si>
    <t xml:space="preserve">  ФИЗИЧЕСКАЯ КУЛЬТУРА И СПОРТ</t>
  </si>
  <si>
    <t xml:space="preserve">  Физическая культура</t>
  </si>
  <si>
    <t xml:space="preserve">  Массовый спорт</t>
  </si>
  <si>
    <t xml:space="preserve">  Другие вопросы в области физической культуры и спорта</t>
  </si>
  <si>
    <t xml:space="preserve">  СРЕДСТВА МАССОВОЙ ИНФОРМАЦИИ</t>
  </si>
  <si>
    <t xml:space="preserve">  Периодическая печать и издательства</t>
  </si>
  <si>
    <t xml:space="preserve">  ОБСЛУЖИВАНИЕ ГОСУДАРСТВЕННОГО И МУНИЦИПАЛЬНОГО ДОЛГА</t>
  </si>
  <si>
    <t xml:space="preserve">  Обслуживание государственного внутреннего и муниципального долга</t>
  </si>
  <si>
    <t xml:space="preserve">  МЕЖБЮДЖЕТНЫЕ ТРАНСФЕРТЫ ОБЩЕГО ХАРАКТЕРА БЮДЖЕТАМ БЮДЖЕТНОЙ СИСТЕМЫ РОССИЙСКОЙ ФЕДЕРАЦИИ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</si>
  <si>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</si>
  <si>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 Прочие межбюджетные трансферты общего характера</t>
  </si>
  <si>
    <t>Результат исполнения бюджета (дефицит / профицит)</t>
  </si>
  <si>
    <t>Источники финансирования дефицита бюджетов - всего</t>
  </si>
  <si>
    <t xml:space="preserve">     в том числе:</t>
  </si>
  <si>
    <t>источники внутреннего финансирования</t>
  </si>
  <si>
    <t>АКЦИЗЫ</t>
  </si>
  <si>
    <t xml:space="preserve">  НАЛОГИ НА  ДОХОДЫ ФИЗИЧЕСКИХ ЛИЦ</t>
  </si>
  <si>
    <t>Отклонение</t>
  </si>
  <si>
    <t>Транспорт</t>
  </si>
  <si>
    <t>Телевидение и радиовещание</t>
  </si>
  <si>
    <t xml:space="preserve">  БЕЗВОЗМЕЗДНЫЕ ПОСТУПЛЕНИЯ ОТ НЕРЕЗИДЕНТОВ</t>
  </si>
  <si>
    <t xml:space="preserve">  Молодежная политика </t>
  </si>
  <si>
    <t>5</t>
  </si>
  <si>
    <t>9</t>
  </si>
  <si>
    <t>10</t>
  </si>
  <si>
    <t>Спорт высших достижений</t>
  </si>
  <si>
    <t>темп                роста (+)         снижения (-)</t>
  </si>
  <si>
    <t>на 01.01.2023</t>
  </si>
  <si>
    <t>% исполнения за 2022 год</t>
  </si>
  <si>
    <t>Сопоставимая информация об исполнении консолидированного бюджета МО "Всеволожский муниципальный район" Ленинградской области за 2023 год по отношению к 2022 году (тыс. руб.)</t>
  </si>
  <si>
    <t>на 01.01.2024</t>
  </si>
  <si>
    <t>% исполнения за 2023 год</t>
  </si>
  <si>
    <t>Гражданская оборона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</si>
</sst>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2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1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1"/>
    <xf numFmtId="0" fontId="3" fillId="0" borderId="2"/>
    <xf numFmtId="0" fontId="4" fillId="0" borderId="1"/>
    <xf numFmtId="0" fontId="5" fillId="0" borderId="1"/>
    <xf numFmtId="0" fontId="6" fillId="0" borderId="1"/>
    <xf numFmtId="0" fontId="7" fillId="0" borderId="3">
      <alignment horizontal="center"/>
    </xf>
    <xf numFmtId="0" fontId="7" fillId="0" borderId="4">
      <alignment horizontal="center"/>
    </xf>
    <xf numFmtId="0" fontId="4" fillId="0" borderId="5"/>
    <xf numFmtId="0" fontId="7" fillId="0" borderId="1">
      <alignment horizontal="center"/>
    </xf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1">
      <alignment horizontal="right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>
      <alignment horizontal="center"/>
    </xf>
    <xf numFmtId="49" fontId="7" fillId="0" borderId="1">
      <alignment horizontal="right"/>
    </xf>
    <xf numFmtId="0" fontId="7" fillId="0" borderId="1"/>
    <xf numFmtId="0" fontId="7" fillId="0" borderId="1">
      <alignment horizontal="right"/>
    </xf>
    <xf numFmtId="0" fontId="7" fillId="0" borderId="6">
      <alignment horizontal="right"/>
    </xf>
    <xf numFmtId="164" fontId="7" fillId="0" borderId="9">
      <alignment horizontal="center"/>
    </xf>
    <xf numFmtId="164" fontId="7" fillId="0" borderId="1">
      <alignment horizontal="center"/>
    </xf>
    <xf numFmtId="49" fontId="7" fillId="0" borderId="1"/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49" fontId="7" fillId="0" borderId="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0" fontId="5" fillId="0" borderId="16"/>
    <xf numFmtId="0" fontId="1" fillId="0" borderId="1">
      <alignment horizontal="center"/>
    </xf>
    <xf numFmtId="49" fontId="7" fillId="0" borderId="17">
      <alignment horizontal="center" vertical="center" wrapText="1"/>
    </xf>
    <xf numFmtId="0" fontId="7" fillId="0" borderId="17">
      <alignment horizontal="center" vertical="center" wrapText="1"/>
    </xf>
    <xf numFmtId="49" fontId="7" fillId="0" borderId="4">
      <alignment horizontal="center" vertical="center" wrapText="1"/>
    </xf>
    <xf numFmtId="0" fontId="7" fillId="0" borderId="18">
      <alignment horizontal="left" wrapText="1"/>
    </xf>
    <xf numFmtId="49" fontId="7" fillId="0" borderId="19">
      <alignment horizontal="center" wrapText="1"/>
    </xf>
    <xf numFmtId="49" fontId="7" fillId="0" borderId="20">
      <alignment horizontal="center"/>
    </xf>
    <xf numFmtId="4" fontId="7" fillId="0" borderId="17">
      <alignment horizontal="right"/>
    </xf>
    <xf numFmtId="4" fontId="7" fillId="0" borderId="18">
      <alignment horizontal="right"/>
    </xf>
    <xf numFmtId="0" fontId="7" fillId="0" borderId="21">
      <alignment horizontal="left" wrapText="1" indent="1"/>
    </xf>
    <xf numFmtId="49" fontId="7" fillId="0" borderId="22">
      <alignment horizontal="center" wrapText="1"/>
    </xf>
    <xf numFmtId="49" fontId="7" fillId="0" borderId="23">
      <alignment horizontal="center"/>
    </xf>
    <xf numFmtId="49" fontId="7" fillId="0" borderId="21">
      <alignment horizontal="center"/>
    </xf>
    <xf numFmtId="0" fontId="7" fillId="0" borderId="24">
      <alignment horizontal="left" wrapText="1" indent="2"/>
    </xf>
    <xf numFmtId="49" fontId="7" fillId="0" borderId="25">
      <alignment horizontal="center"/>
    </xf>
    <xf numFmtId="49" fontId="7" fillId="0" borderId="26">
      <alignment horizontal="center"/>
    </xf>
    <xf numFmtId="4" fontId="7" fillId="0" borderId="26">
      <alignment horizontal="right"/>
    </xf>
    <xf numFmtId="4" fontId="7" fillId="0" borderId="24">
      <alignment horizontal="right"/>
    </xf>
    <xf numFmtId="0" fontId="7" fillId="0" borderId="27"/>
    <xf numFmtId="0" fontId="7" fillId="2" borderId="27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1" fillId="0" borderId="1"/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8">
      <alignment horizontal="left" wrapText="1"/>
    </xf>
    <xf numFmtId="49" fontId="7" fillId="0" borderId="26">
      <alignment horizontal="center" wrapText="1"/>
    </xf>
    <xf numFmtId="0" fontId="7" fillId="0" borderId="24">
      <alignment horizontal="left" wrapText="1"/>
    </xf>
    <xf numFmtId="0" fontId="7" fillId="0" borderId="29">
      <alignment horizontal="left" wrapText="1" indent="1"/>
    </xf>
    <xf numFmtId="49" fontId="7" fillId="0" borderId="30">
      <alignment horizontal="center" wrapText="1"/>
    </xf>
    <xf numFmtId="49" fontId="7" fillId="0" borderId="17">
      <alignment horizontal="center"/>
    </xf>
    <xf numFmtId="49" fontId="7" fillId="0" borderId="18">
      <alignment horizontal="center"/>
    </xf>
    <xf numFmtId="0" fontId="7" fillId="0" borderId="31"/>
    <xf numFmtId="0" fontId="1" fillId="0" borderId="32">
      <alignment horizontal="left" wrapText="1"/>
    </xf>
    <xf numFmtId="0" fontId="7" fillId="0" borderId="33">
      <alignment horizontal="center" wrapText="1"/>
    </xf>
    <xf numFmtId="49" fontId="7" fillId="0" borderId="34">
      <alignment horizontal="center" wrapText="1"/>
    </xf>
    <xf numFmtId="4" fontId="7" fillId="0" borderId="20">
      <alignment horizontal="right"/>
    </xf>
    <xf numFmtId="0" fontId="1" fillId="0" borderId="35">
      <alignment horizontal="left" wrapText="1"/>
    </xf>
    <xf numFmtId="4" fontId="7" fillId="0" borderId="35">
      <alignment horizontal="right"/>
    </xf>
    <xf numFmtId="0" fontId="7" fillId="0" borderId="1">
      <alignment horizontal="center" wrapText="1"/>
    </xf>
    <xf numFmtId="0" fontId="1" fillId="0" borderId="2"/>
    <xf numFmtId="49" fontId="7" fillId="0" borderId="2">
      <alignment horizontal="left"/>
    </xf>
    <xf numFmtId="0" fontId="7" fillId="0" borderId="36">
      <alignment horizontal="left" wrapText="1"/>
    </xf>
    <xf numFmtId="0" fontId="7" fillId="0" borderId="37">
      <alignment horizontal="left" wrapText="1"/>
    </xf>
    <xf numFmtId="0" fontId="7" fillId="0" borderId="38">
      <alignment horizontal="left" wrapText="1"/>
    </xf>
    <xf numFmtId="0" fontId="7" fillId="0" borderId="39">
      <alignment horizontal="left" wrapText="1"/>
    </xf>
    <xf numFmtId="0" fontId="4" fillId="0" borderId="23"/>
    <xf numFmtId="0" fontId="4" fillId="0" borderId="21"/>
    <xf numFmtId="0" fontId="7" fillId="0" borderId="36">
      <alignment horizontal="left" wrapText="1" indent="1"/>
    </xf>
    <xf numFmtId="49" fontId="7" fillId="0" borderId="25">
      <alignment horizontal="center" wrapText="1"/>
    </xf>
    <xf numFmtId="0" fontId="7" fillId="0" borderId="37">
      <alignment horizontal="left" wrapText="1" indent="1"/>
    </xf>
    <xf numFmtId="0" fontId="7" fillId="0" borderId="38">
      <alignment horizontal="left" wrapText="1" indent="2"/>
    </xf>
    <xf numFmtId="0" fontId="7" fillId="0" borderId="39">
      <alignment horizontal="left" wrapText="1" indent="2"/>
    </xf>
    <xf numFmtId="0" fontId="7" fillId="0" borderId="37">
      <alignment horizontal="left" wrapText="1" indent="2"/>
    </xf>
    <xf numFmtId="49" fontId="7" fillId="0" borderId="25">
      <alignment horizontal="center" shrinkToFit="1"/>
    </xf>
    <xf numFmtId="49" fontId="7" fillId="0" borderId="26">
      <alignment horizontal="center" shrinkToFit="1"/>
    </xf>
    <xf numFmtId="0" fontId="10" fillId="0" borderId="40">
      <alignment horizontal="center" vertical="center" textRotation="90" wrapText="1"/>
    </xf>
    <xf numFmtId="0" fontId="7" fillId="0" borderId="17">
      <alignment horizontal="center" vertical="top" wrapText="1"/>
    </xf>
    <xf numFmtId="0" fontId="7" fillId="0" borderId="17">
      <alignment horizontal="center" vertical="top"/>
    </xf>
    <xf numFmtId="49" fontId="7" fillId="0" borderId="17">
      <alignment horizontal="center" vertical="top" wrapText="1"/>
    </xf>
    <xf numFmtId="0" fontId="1" fillId="0" borderId="41"/>
    <xf numFmtId="49" fontId="1" fillId="0" borderId="19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39">
      <alignment horizontal="left" vertical="center" wrapText="1" indent="2"/>
    </xf>
    <xf numFmtId="49" fontId="7" fillId="0" borderId="22">
      <alignment horizontal="center" vertical="center" wrapText="1"/>
    </xf>
    <xf numFmtId="0" fontId="7" fillId="0" borderId="23"/>
    <xf numFmtId="4" fontId="7" fillId="0" borderId="23">
      <alignment horizontal="right"/>
    </xf>
    <xf numFmtId="4" fontId="7" fillId="0" borderId="21">
      <alignment horizontal="right"/>
    </xf>
    <xf numFmtId="49" fontId="7" fillId="0" borderId="37">
      <alignment horizontal="left" vertical="center" wrapText="1" indent="3"/>
    </xf>
    <xf numFmtId="49" fontId="7" fillId="0" borderId="25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3">
      <alignment horizontal="left" vertical="center" wrapText="1" indent="3"/>
    </xf>
    <xf numFmtId="0" fontId="11" fillId="0" borderId="41">
      <alignment horizontal="left" vertical="center" wrapText="1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3">
      <alignment horizontal="center" vertical="center" wrapText="1"/>
    </xf>
    <xf numFmtId="4" fontId="7" fillId="0" borderId="13">
      <alignment horizontal="right"/>
    </xf>
    <xf numFmtId="0" fontId="4" fillId="0" borderId="13"/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1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0" fontId="10" fillId="0" borderId="3">
      <alignment horizontal="center" vertical="center" textRotation="90" wrapText="1"/>
    </xf>
    <xf numFmtId="49" fontId="1" fillId="0" borderId="19">
      <alignment horizontal="center" vertical="center" wrapText="1"/>
    </xf>
    <xf numFmtId="0" fontId="7" fillId="0" borderId="21"/>
    <xf numFmtId="49" fontId="7" fillId="0" borderId="44">
      <alignment horizontal="center" vertical="center" wrapText="1"/>
    </xf>
    <xf numFmtId="4" fontId="7" fillId="0" borderId="4">
      <alignment horizontal="right"/>
    </xf>
    <xf numFmtId="4" fontId="7" fillId="0" borderId="45">
      <alignment horizontal="right"/>
    </xf>
    <xf numFmtId="0" fontId="10" fillId="0" borderId="1">
      <alignment horizontal="center" vertical="center" textRotation="90"/>
    </xf>
    <xf numFmtId="0" fontId="10" fillId="0" borderId="3">
      <alignment horizontal="center" vertical="center" textRotation="90"/>
    </xf>
    <xf numFmtId="49" fontId="11" fillId="0" borderId="41">
      <alignment horizontal="left" vertical="center" wrapText="1"/>
    </xf>
    <xf numFmtId="0" fontId="4" fillId="0" borderId="27"/>
    <xf numFmtId="0" fontId="10" fillId="0" borderId="17">
      <alignment horizontal="center" vertical="center" textRotation="90"/>
    </xf>
    <xf numFmtId="0" fontId="7" fillId="0" borderId="19">
      <alignment horizontal="center" vertical="center"/>
    </xf>
    <xf numFmtId="0" fontId="7" fillId="0" borderId="42">
      <alignment horizontal="left" vertical="center" wrapText="1"/>
    </xf>
    <xf numFmtId="0" fontId="7" fillId="0" borderId="22">
      <alignment horizontal="center" vertical="center"/>
    </xf>
    <xf numFmtId="0" fontId="7" fillId="0" borderId="25">
      <alignment horizontal="center" vertical="center"/>
    </xf>
    <xf numFmtId="0" fontId="7" fillId="0" borderId="30">
      <alignment horizontal="center" vertical="center"/>
    </xf>
    <xf numFmtId="0" fontId="7" fillId="0" borderId="43">
      <alignment horizontal="left" vertical="center" wrapText="1"/>
    </xf>
    <xf numFmtId="49" fontId="11" fillId="0" borderId="46">
      <alignment horizontal="left" vertical="center" wrapText="1"/>
    </xf>
    <xf numFmtId="49" fontId="7" fillId="0" borderId="20">
      <alignment horizontal="center" vertical="center"/>
    </xf>
    <xf numFmtId="49" fontId="7" fillId="0" borderId="47">
      <alignment horizontal="left" vertical="center" wrapText="1"/>
    </xf>
    <xf numFmtId="49" fontId="7" fillId="0" borderId="23">
      <alignment horizontal="center" vertical="center"/>
    </xf>
    <xf numFmtId="49" fontId="7" fillId="0" borderId="26">
      <alignment horizontal="center" vertical="center"/>
    </xf>
    <xf numFmtId="49" fontId="7" fillId="0" borderId="17">
      <alignment horizontal="center" vertical="center"/>
    </xf>
    <xf numFmtId="49" fontId="7" fillId="0" borderId="48">
      <alignment horizontal="left" vertical="center" wrapText="1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7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50">
    <xf numFmtId="0" fontId="0" fillId="0" borderId="0" xfId="0"/>
    <xf numFmtId="0" fontId="20" fillId="4" borderId="0" xfId="0" applyFont="1" applyFill="1" applyProtection="1">
      <protection locked="0"/>
    </xf>
    <xf numFmtId="49" fontId="19" fillId="4" borderId="50" xfId="39" applyFont="1" applyFill="1" applyBorder="1" applyProtection="1">
      <alignment horizontal="center" vertical="center" wrapText="1"/>
    </xf>
    <xf numFmtId="49" fontId="19" fillId="4" borderId="49" xfId="39" applyFont="1" applyFill="1" applyBorder="1" applyProtection="1">
      <alignment horizontal="center" vertical="center" wrapText="1"/>
    </xf>
    <xf numFmtId="0" fontId="19" fillId="4" borderId="49" xfId="10" applyNumberFormat="1" applyFont="1" applyFill="1" applyBorder="1" applyProtection="1"/>
    <xf numFmtId="0" fontId="19" fillId="4" borderId="51" xfId="40" applyNumberFormat="1" applyFont="1" applyFill="1" applyBorder="1" applyProtection="1">
      <alignment horizontal="center" vertical="center" wrapText="1"/>
    </xf>
    <xf numFmtId="0" fontId="19" fillId="4" borderId="49" xfId="40" applyNumberFormat="1" applyFont="1" applyFill="1" applyBorder="1" applyProtection="1">
      <alignment horizontal="center" vertical="center" wrapText="1"/>
    </xf>
    <xf numFmtId="0" fontId="19" fillId="4" borderId="49" xfId="42" applyNumberFormat="1" applyFont="1" applyFill="1" applyBorder="1" applyProtection="1">
      <alignment horizontal="left" wrapText="1"/>
    </xf>
    <xf numFmtId="4" fontId="19" fillId="4" borderId="49" xfId="45" applyFont="1" applyFill="1" applyBorder="1" applyProtection="1">
      <alignment horizontal="right"/>
    </xf>
    <xf numFmtId="0" fontId="19" fillId="4" borderId="49" xfId="17" applyNumberFormat="1" applyFont="1" applyFill="1" applyBorder="1" applyProtection="1"/>
    <xf numFmtId="4" fontId="20" fillId="4" borderId="49" xfId="0" applyNumberFormat="1" applyFont="1" applyFill="1" applyBorder="1" applyProtection="1">
      <protection locked="0"/>
    </xf>
    <xf numFmtId="0" fontId="19" fillId="4" borderId="49" xfId="47" applyNumberFormat="1" applyFont="1" applyFill="1" applyBorder="1" applyProtection="1">
      <alignment horizontal="left" wrapText="1" indent="1"/>
    </xf>
    <xf numFmtId="49" fontId="19" fillId="4" borderId="49" xfId="49" applyFont="1" applyFill="1" applyBorder="1" applyProtection="1">
      <alignment horizontal="center"/>
    </xf>
    <xf numFmtId="0" fontId="19" fillId="4" borderId="49" xfId="51" applyNumberFormat="1" applyFont="1" applyFill="1" applyBorder="1" applyProtection="1">
      <alignment horizontal="left" wrapText="1" indent="2"/>
    </xf>
    <xf numFmtId="4" fontId="19" fillId="4" borderId="49" xfId="54" applyFont="1" applyFill="1" applyBorder="1" applyProtection="1">
      <alignment horizontal="right"/>
    </xf>
    <xf numFmtId="0" fontId="17" fillId="4" borderId="0" xfId="0" applyFont="1" applyFill="1" applyProtection="1">
      <protection locked="0"/>
    </xf>
    <xf numFmtId="0" fontId="18" fillId="4" borderId="49" xfId="74" applyNumberFormat="1" applyFont="1" applyFill="1" applyBorder="1" applyProtection="1">
      <alignment horizontal="left" wrapText="1"/>
    </xf>
    <xf numFmtId="4" fontId="19" fillId="4" borderId="49" xfId="77" applyFont="1" applyFill="1" applyBorder="1" applyProtection="1">
      <alignment horizontal="right"/>
    </xf>
    <xf numFmtId="0" fontId="19" fillId="4" borderId="49" xfId="83" applyNumberFormat="1" applyFont="1" applyFill="1" applyBorder="1" applyProtection="1">
      <alignment horizontal="left" wrapText="1"/>
    </xf>
    <xf numFmtId="0" fontId="20" fillId="4" borderId="49" xfId="0" applyFont="1" applyFill="1" applyBorder="1" applyProtection="1">
      <protection locked="0"/>
    </xf>
    <xf numFmtId="0" fontId="19" fillId="4" borderId="49" xfId="85" applyNumberFormat="1" applyFont="1" applyFill="1" applyBorder="1" applyProtection="1">
      <alignment horizontal="left" wrapText="1"/>
    </xf>
    <xf numFmtId="0" fontId="19" fillId="4" borderId="49" xfId="89" applyNumberFormat="1" applyFont="1" applyFill="1" applyBorder="1" applyProtection="1">
      <alignment horizontal="left" wrapText="1" indent="1"/>
    </xf>
    <xf numFmtId="49" fontId="19" fillId="4" borderId="56" xfId="39" applyFont="1" applyFill="1" applyBorder="1" applyProtection="1">
      <alignment horizontal="center" vertical="center" wrapText="1"/>
    </xf>
    <xf numFmtId="0" fontId="19" fillId="4" borderId="57" xfId="40" applyNumberFormat="1" applyFont="1" applyFill="1" applyBorder="1" applyProtection="1">
      <alignment horizontal="center" vertical="center" wrapText="1"/>
    </xf>
    <xf numFmtId="4" fontId="19" fillId="4" borderId="55" xfId="45" applyFont="1" applyFill="1" applyBorder="1" applyProtection="1">
      <alignment horizontal="right"/>
    </xf>
    <xf numFmtId="4" fontId="19" fillId="4" borderId="12" xfId="45" applyFont="1" applyFill="1" applyBorder="1" applyProtection="1">
      <alignment horizontal="right"/>
    </xf>
    <xf numFmtId="4" fontId="20" fillId="4" borderId="0" xfId="0" applyNumberFormat="1" applyFont="1" applyFill="1" applyProtection="1">
      <protection locked="0"/>
    </xf>
    <xf numFmtId="49" fontId="19" fillId="4" borderId="49" xfId="71" applyFont="1" applyFill="1" applyBorder="1" applyProtection="1">
      <alignment horizontal="center"/>
    </xf>
    <xf numFmtId="0" fontId="19" fillId="4" borderId="49" xfId="66" applyNumberFormat="1" applyFont="1" applyFill="1" applyBorder="1" applyProtection="1">
      <alignment horizontal="left" wrapText="1"/>
    </xf>
    <xf numFmtId="0" fontId="19" fillId="4" borderId="49" xfId="69" applyNumberFormat="1" applyFont="1" applyFill="1" applyBorder="1" applyProtection="1">
      <alignment horizontal="left" wrapText="1" indent="1"/>
    </xf>
    <xf numFmtId="4" fontId="17" fillId="4" borderId="0" xfId="0" applyNumberFormat="1" applyFont="1" applyFill="1" applyProtection="1">
      <protection locked="0"/>
    </xf>
    <xf numFmtId="0" fontId="19" fillId="4" borderId="52" xfId="6" applyNumberFormat="1" applyFont="1" applyFill="1" applyBorder="1" applyAlignment="1" applyProtection="1">
      <alignment horizontal="center"/>
    </xf>
    <xf numFmtId="0" fontId="20" fillId="4" borderId="52" xfId="0" applyFont="1" applyFill="1" applyBorder="1" applyAlignment="1" applyProtection="1">
      <alignment horizontal="center"/>
      <protection locked="0"/>
    </xf>
    <xf numFmtId="49" fontId="20" fillId="4" borderId="1" xfId="0" applyNumberFormat="1" applyFont="1" applyFill="1" applyBorder="1" applyAlignment="1" applyProtection="1">
      <alignment horizontal="center"/>
      <protection locked="0"/>
    </xf>
    <xf numFmtId="49" fontId="19" fillId="4" borderId="49" xfId="41" applyFont="1" applyFill="1" applyBorder="1" applyAlignment="1" applyProtection="1">
      <alignment horizontal="center" vertical="center" wrapText="1"/>
    </xf>
    <xf numFmtId="0" fontId="19" fillId="4" borderId="49" xfId="10" applyNumberFormat="1" applyFont="1" applyFill="1" applyBorder="1" applyAlignment="1" applyProtection="1">
      <alignment horizontal="center"/>
    </xf>
    <xf numFmtId="49" fontId="20" fillId="4" borderId="49" xfId="0" applyNumberFormat="1" applyFont="1" applyFill="1" applyBorder="1" applyAlignment="1" applyProtection="1">
      <alignment horizontal="center"/>
      <protection locked="0"/>
    </xf>
    <xf numFmtId="4" fontId="19" fillId="4" borderId="26" xfId="54" applyNumberFormat="1" applyFont="1" applyFill="1" applyProtection="1">
      <alignment horizontal="right"/>
    </xf>
    <xf numFmtId="4" fontId="19" fillId="4" borderId="49" xfId="17" applyNumberFormat="1" applyFont="1" applyFill="1" applyBorder="1" applyProtection="1"/>
    <xf numFmtId="0" fontId="20" fillId="4" borderId="58" xfId="0" applyFont="1" applyFill="1" applyBorder="1" applyAlignment="1" applyProtection="1">
      <alignment horizontal="center" vertical="center" wrapText="1"/>
      <protection locked="0"/>
    </xf>
    <xf numFmtId="0" fontId="20" fillId="4" borderId="59" xfId="0" applyFont="1" applyFill="1" applyBorder="1" applyAlignment="1" applyProtection="1">
      <alignment horizontal="center" vertical="center" wrapText="1"/>
      <protection locked="0"/>
    </xf>
    <xf numFmtId="0" fontId="20" fillId="4" borderId="60" xfId="0" applyFont="1" applyFill="1" applyBorder="1" applyAlignment="1" applyProtection="1">
      <alignment horizontal="center" vertical="center" wrapText="1"/>
      <protection locked="0"/>
    </xf>
    <xf numFmtId="49" fontId="19" fillId="4" borderId="49" xfId="39" applyFont="1" applyFill="1" applyBorder="1" applyAlignment="1" applyProtection="1">
      <alignment horizontal="center" vertical="center" wrapText="1"/>
    </xf>
    <xf numFmtId="0" fontId="19" fillId="4" borderId="1" xfId="20" applyNumberFormat="1" applyFont="1" applyFill="1" applyAlignment="1" applyProtection="1">
      <alignment horizontal="center"/>
    </xf>
    <xf numFmtId="0" fontId="19" fillId="4" borderId="53" xfId="6" applyNumberFormat="1" applyFont="1" applyFill="1" applyBorder="1" applyAlignment="1" applyProtection="1">
      <alignment horizontal="center"/>
    </xf>
    <xf numFmtId="0" fontId="19" fillId="4" borderId="54" xfId="6" applyNumberFormat="1" applyFont="1" applyFill="1" applyBorder="1" applyAlignment="1" applyProtection="1">
      <alignment horizontal="center"/>
    </xf>
    <xf numFmtId="49" fontId="19" fillId="4" borderId="49" xfId="25" applyFont="1" applyFill="1" applyBorder="1" applyAlignment="1" applyProtection="1">
      <alignment horizontal="center"/>
    </xf>
    <xf numFmtId="0" fontId="20" fillId="4" borderId="49" xfId="0" applyFont="1" applyFill="1" applyBorder="1" applyAlignment="1" applyProtection="1">
      <alignment horizontal="center" vertical="center"/>
      <protection locked="0"/>
    </xf>
    <xf numFmtId="2" fontId="19" fillId="4" borderId="49" xfId="54" applyNumberFormat="1" applyFont="1" applyFill="1" applyBorder="1" applyProtection="1">
      <alignment horizontal="right"/>
    </xf>
    <xf numFmtId="0" fontId="20" fillId="4" borderId="1" xfId="0" applyFont="1" applyFill="1" applyBorder="1" applyProtection="1">
      <protection locked="0"/>
    </xf>
  </cellXfs>
  <cellStyles count="171">
    <cellStyle name="br" xfId="166"/>
    <cellStyle name="col" xfId="165"/>
    <cellStyle name="style0" xfId="167"/>
    <cellStyle name="td" xfId="168"/>
    <cellStyle name="tr" xfId="164"/>
    <cellStyle name="xl100" xfId="72"/>
    <cellStyle name="xl101" xfId="79"/>
    <cellStyle name="xl102" xfId="81"/>
    <cellStyle name="xl103" xfId="83"/>
    <cellStyle name="xl104" xfId="85"/>
    <cellStyle name="xl105" xfId="89"/>
    <cellStyle name="xl106" xfId="92"/>
    <cellStyle name="xl107" xfId="94"/>
    <cellStyle name="xl108" xfId="80"/>
    <cellStyle name="xl109" xfId="82"/>
    <cellStyle name="xl110" xfId="90"/>
    <cellStyle name="xl111" xfId="95"/>
    <cellStyle name="xl112" xfId="96"/>
    <cellStyle name="xl113" xfId="84"/>
    <cellStyle name="xl114" xfId="86"/>
    <cellStyle name="xl115" xfId="91"/>
    <cellStyle name="xl116" xfId="93"/>
    <cellStyle name="xl117" xfId="87"/>
    <cellStyle name="xl118" xfId="88"/>
    <cellStyle name="xl119" xfId="97"/>
    <cellStyle name="xl120" xfId="117"/>
    <cellStyle name="xl121" xfId="122"/>
    <cellStyle name="xl122" xfId="126"/>
    <cellStyle name="xl123" xfId="130"/>
    <cellStyle name="xl124" xfId="136"/>
    <cellStyle name="xl125" xfId="137"/>
    <cellStyle name="xl126" xfId="140"/>
    <cellStyle name="xl127" xfId="121"/>
    <cellStyle name="xl128" xfId="159"/>
    <cellStyle name="xl129" xfId="162"/>
    <cellStyle name="xl130" xfId="98"/>
    <cellStyle name="xl131" xfId="101"/>
    <cellStyle name="xl132" xfId="104"/>
    <cellStyle name="xl133" xfId="106"/>
    <cellStyle name="xl134" xfId="111"/>
    <cellStyle name="xl135" xfId="113"/>
    <cellStyle name="xl136" xfId="115"/>
    <cellStyle name="xl137" xfId="116"/>
    <cellStyle name="xl138" xfId="118"/>
    <cellStyle name="xl139" xfId="123"/>
    <cellStyle name="xl140" xfId="127"/>
    <cellStyle name="xl141" xfId="138"/>
    <cellStyle name="xl142" xfId="142"/>
    <cellStyle name="xl143" xfId="146"/>
    <cellStyle name="xl144" xfId="147"/>
    <cellStyle name="xl145" xfId="149"/>
    <cellStyle name="xl146" xfId="153"/>
    <cellStyle name="xl147" xfId="102"/>
    <cellStyle name="xl148" xfId="105"/>
    <cellStyle name="xl149" xfId="107"/>
    <cellStyle name="xl150" xfId="112"/>
    <cellStyle name="xl151" xfId="114"/>
    <cellStyle name="xl152" xfId="119"/>
    <cellStyle name="xl153" xfId="124"/>
    <cellStyle name="xl154" xfId="128"/>
    <cellStyle name="xl155" xfId="131"/>
    <cellStyle name="xl156" xfId="133"/>
    <cellStyle name="xl157" xfId="139"/>
    <cellStyle name="xl158" xfId="141"/>
    <cellStyle name="xl159" xfId="143"/>
    <cellStyle name="xl160" xfId="144"/>
    <cellStyle name="xl161" xfId="145"/>
    <cellStyle name="xl162" xfId="148"/>
    <cellStyle name="xl163" xfId="150"/>
    <cellStyle name="xl164" xfId="151"/>
    <cellStyle name="xl165" xfId="152"/>
    <cellStyle name="xl166" xfId="100"/>
    <cellStyle name="xl167" xfId="108"/>
    <cellStyle name="xl168" xfId="120"/>
    <cellStyle name="xl169" xfId="125"/>
    <cellStyle name="xl170" xfId="129"/>
    <cellStyle name="xl171" xfId="134"/>
    <cellStyle name="xl172" xfId="154"/>
    <cellStyle name="xl173" xfId="157"/>
    <cellStyle name="xl174" xfId="160"/>
    <cellStyle name="xl175" xfId="163"/>
    <cellStyle name="xl176" xfId="155"/>
    <cellStyle name="xl177" xfId="158"/>
    <cellStyle name="xl178" xfId="156"/>
    <cellStyle name="xl179" xfId="109"/>
    <cellStyle name="xl180" xfId="99"/>
    <cellStyle name="xl181" xfId="110"/>
    <cellStyle name="xl182" xfId="132"/>
    <cellStyle name="xl183" xfId="135"/>
    <cellStyle name="xl184" xfId="161"/>
    <cellStyle name="xl185" xfId="103"/>
    <cellStyle name="xl21" xfId="169"/>
    <cellStyle name="xl22" xfId="1"/>
    <cellStyle name="xl23" xfId="7"/>
    <cellStyle name="xl24" xfId="12"/>
    <cellStyle name="xl25" xfId="20"/>
    <cellStyle name="xl26" xfId="6"/>
    <cellStyle name="xl27" xfId="5"/>
    <cellStyle name="xl28" xfId="39"/>
    <cellStyle name="xl29" xfId="42"/>
    <cellStyle name="xl30" xfId="47"/>
    <cellStyle name="xl31" xfId="51"/>
    <cellStyle name="xl32" xfId="170"/>
    <cellStyle name="xl33" xfId="13"/>
    <cellStyle name="xl34" xfId="32"/>
    <cellStyle name="xl35" xfId="43"/>
    <cellStyle name="xl36" xfId="48"/>
    <cellStyle name="xl37" xfId="52"/>
    <cellStyle name="xl38" xfId="56"/>
    <cellStyle name="xl39" xfId="11"/>
    <cellStyle name="xl40" xfId="33"/>
    <cellStyle name="xl41" xfId="25"/>
    <cellStyle name="xl42" xfId="44"/>
    <cellStyle name="xl43" xfId="49"/>
    <cellStyle name="xl44" xfId="53"/>
    <cellStyle name="xl45" xfId="40"/>
    <cellStyle name="xl46" xfId="41"/>
    <cellStyle name="xl47" xfId="45"/>
    <cellStyle name="xl48" xfId="54"/>
    <cellStyle name="xl49" xfId="57"/>
    <cellStyle name="xl50" xfId="58"/>
    <cellStyle name="xl51" xfId="38"/>
    <cellStyle name="xl52" xfId="27"/>
    <cellStyle name="xl53" xfId="30"/>
    <cellStyle name="xl54" xfId="2"/>
    <cellStyle name="xl55" xfId="14"/>
    <cellStyle name="xl56" xfId="21"/>
    <cellStyle name="xl57" xfId="3"/>
    <cellStyle name="xl58" xfId="8"/>
    <cellStyle name="xl59" xfId="15"/>
    <cellStyle name="xl60" xfId="22"/>
    <cellStyle name="xl61" xfId="36"/>
    <cellStyle name="xl62" xfId="4"/>
    <cellStyle name="xl63" xfId="9"/>
    <cellStyle name="xl64" xfId="16"/>
    <cellStyle name="xl65" xfId="23"/>
    <cellStyle name="xl66" xfId="26"/>
    <cellStyle name="xl67" xfId="28"/>
    <cellStyle name="xl68" xfId="31"/>
    <cellStyle name="xl69" xfId="34"/>
    <cellStyle name="xl70" xfId="35"/>
    <cellStyle name="xl71" xfId="37"/>
    <cellStyle name="xl72" xfId="10"/>
    <cellStyle name="xl73" xfId="17"/>
    <cellStyle name="xl74" xfId="18"/>
    <cellStyle name="xl75" xfId="24"/>
    <cellStyle name="xl76" xfId="29"/>
    <cellStyle name="xl77" xfId="19"/>
    <cellStyle name="xl78" xfId="46"/>
    <cellStyle name="xl79" xfId="50"/>
    <cellStyle name="xl80" xfId="55"/>
    <cellStyle name="xl81" xfId="59"/>
    <cellStyle name="xl82" xfId="62"/>
    <cellStyle name="xl83" xfId="66"/>
    <cellStyle name="xl84" xfId="69"/>
    <cellStyle name="xl85" xfId="73"/>
    <cellStyle name="xl86" xfId="74"/>
    <cellStyle name="xl87" xfId="60"/>
    <cellStyle name="xl88" xfId="70"/>
    <cellStyle name="xl89" xfId="75"/>
    <cellStyle name="xl90" xfId="67"/>
    <cellStyle name="xl91" xfId="71"/>
    <cellStyle name="xl92" xfId="76"/>
    <cellStyle name="xl93" xfId="63"/>
    <cellStyle name="xl94" xfId="77"/>
    <cellStyle name="xl95" xfId="61"/>
    <cellStyle name="xl96" xfId="68"/>
    <cellStyle name="xl97" xfId="78"/>
    <cellStyle name="xl98" xfId="64"/>
    <cellStyle name="xl99" xfId="6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4"/>
  <sheetViews>
    <sheetView tabSelected="1" topLeftCell="A6" zoomScale="85" zoomScaleNormal="85" workbookViewId="0">
      <selection activeCell="J23" sqref="J23"/>
    </sheetView>
  </sheetViews>
  <sheetFormatPr defaultColWidth="9.140625" defaultRowHeight="18.75"/>
  <cols>
    <col min="1" max="1" width="74.85546875" style="1" customWidth="1"/>
    <col min="2" max="2" width="27.42578125" style="1" customWidth="1"/>
    <col min="3" max="3" width="28.7109375" style="1" customWidth="1"/>
    <col min="4" max="4" width="14.140625" style="1" customWidth="1"/>
    <col min="5" max="5" width="24.42578125" style="1" customWidth="1"/>
    <col min="6" max="6" width="26.140625" style="1" customWidth="1"/>
    <col min="7" max="7" width="9.140625" style="1" hidden="1" customWidth="1"/>
    <col min="8" max="8" width="17.140625" style="1" customWidth="1"/>
    <col min="9" max="9" width="19.5703125" style="1" customWidth="1"/>
    <col min="10" max="10" width="16.28515625" style="1" customWidth="1"/>
    <col min="11" max="11" width="22.85546875" style="1" bestFit="1" customWidth="1"/>
    <col min="12" max="12" width="22.140625" style="1" bestFit="1" customWidth="1"/>
    <col min="13" max="16384" width="9.140625" style="1"/>
  </cols>
  <sheetData>
    <row r="1" spans="1:11">
      <c r="A1" s="43" t="s">
        <v>97</v>
      </c>
      <c r="B1" s="43"/>
      <c r="C1" s="43"/>
      <c r="D1" s="43"/>
      <c r="E1" s="43"/>
      <c r="F1" s="43"/>
      <c r="G1" s="43"/>
      <c r="H1" s="43"/>
      <c r="I1" s="43"/>
      <c r="J1" s="43"/>
    </row>
    <row r="2" spans="1:11">
      <c r="A2" s="43"/>
      <c r="B2" s="43"/>
      <c r="C2" s="43"/>
      <c r="D2" s="43"/>
      <c r="E2" s="43"/>
      <c r="F2" s="43"/>
      <c r="G2" s="43"/>
      <c r="H2" s="43"/>
      <c r="I2" s="43"/>
      <c r="J2" s="43"/>
    </row>
    <row r="3" spans="1:11">
      <c r="A3" s="43"/>
      <c r="B3" s="43"/>
      <c r="C3" s="43"/>
      <c r="D3" s="43"/>
      <c r="E3" s="43"/>
      <c r="F3" s="43"/>
      <c r="G3" s="43"/>
      <c r="H3" s="43"/>
      <c r="I3" s="43"/>
      <c r="J3" s="43"/>
    </row>
    <row r="4" spans="1:11" ht="18.75" customHeight="1">
      <c r="A4" s="42" t="s">
        <v>0</v>
      </c>
      <c r="B4" s="44" t="s">
        <v>98</v>
      </c>
      <c r="C4" s="45"/>
      <c r="D4" s="45"/>
      <c r="E4" s="46" t="s">
        <v>95</v>
      </c>
      <c r="F4" s="46"/>
      <c r="G4" s="46"/>
      <c r="H4" s="46"/>
      <c r="I4" s="47" t="s">
        <v>85</v>
      </c>
      <c r="J4" s="39" t="s">
        <v>94</v>
      </c>
    </row>
    <row r="5" spans="1:11" ht="56.25">
      <c r="A5" s="42"/>
      <c r="B5" s="2" t="s">
        <v>1</v>
      </c>
      <c r="C5" s="22" t="s">
        <v>2</v>
      </c>
      <c r="D5" s="42" t="s">
        <v>99</v>
      </c>
      <c r="E5" s="3" t="s">
        <v>1</v>
      </c>
      <c r="F5" s="3" t="s">
        <v>2</v>
      </c>
      <c r="G5" s="4"/>
      <c r="H5" s="42" t="s">
        <v>96</v>
      </c>
      <c r="I5" s="47"/>
      <c r="J5" s="40"/>
    </row>
    <row r="6" spans="1:11" ht="199.15" customHeight="1">
      <c r="A6" s="42"/>
      <c r="B6" s="5" t="s">
        <v>3</v>
      </c>
      <c r="C6" s="23" t="s">
        <v>3</v>
      </c>
      <c r="D6" s="42"/>
      <c r="E6" s="6" t="s">
        <v>3</v>
      </c>
      <c r="F6" s="6" t="s">
        <v>3</v>
      </c>
      <c r="G6" s="4"/>
      <c r="H6" s="42"/>
      <c r="I6" s="47"/>
      <c r="J6" s="41"/>
    </row>
    <row r="7" spans="1:11" ht="19.5" thickBot="1">
      <c r="A7" s="3" t="s">
        <v>4</v>
      </c>
      <c r="B7" s="31">
        <v>3</v>
      </c>
      <c r="C7" s="32">
        <v>4</v>
      </c>
      <c r="D7" s="33" t="s">
        <v>90</v>
      </c>
      <c r="E7" s="34" t="s">
        <v>5</v>
      </c>
      <c r="F7" s="34" t="s">
        <v>6</v>
      </c>
      <c r="G7" s="35"/>
      <c r="H7" s="35">
        <v>8</v>
      </c>
      <c r="I7" s="36" t="s">
        <v>91</v>
      </c>
      <c r="J7" s="36" t="s">
        <v>92</v>
      </c>
    </row>
    <row r="8" spans="1:11">
      <c r="A8" s="7" t="s">
        <v>7</v>
      </c>
      <c r="B8" s="8">
        <f>22098960142.9/1000</f>
        <v>22098960.142900001</v>
      </c>
      <c r="C8" s="8">
        <f>22261571396.49/1000</f>
        <v>22261571.39649</v>
      </c>
      <c r="D8" s="24">
        <f>C8/B8*100</f>
        <v>100.73583215019393</v>
      </c>
      <c r="E8" s="8">
        <f>19292399073.25/1000</f>
        <v>19292399.073249999</v>
      </c>
      <c r="F8" s="8">
        <f>19540152627.21/1000</f>
        <v>19540152.627209999</v>
      </c>
      <c r="G8" s="24">
        <f>F8/E8*100</f>
        <v>101.28420292893239</v>
      </c>
      <c r="H8" s="38">
        <f>F8/E8*100</f>
        <v>101.28420292893239</v>
      </c>
      <c r="I8" s="10">
        <f>C8-F8</f>
        <v>2721418.7692800015</v>
      </c>
      <c r="J8" s="10">
        <f>I8/F8</f>
        <v>0.13927315826030853</v>
      </c>
      <c r="K8" s="26"/>
    </row>
    <row r="9" spans="1:11">
      <c r="A9" s="11" t="s">
        <v>8</v>
      </c>
      <c r="B9" s="12"/>
      <c r="C9" s="12"/>
      <c r="D9" s="24"/>
      <c r="E9" s="12"/>
      <c r="F9" s="12"/>
      <c r="G9" s="24"/>
      <c r="H9" s="38"/>
      <c r="I9" s="10"/>
      <c r="J9" s="10"/>
      <c r="K9" s="26"/>
    </row>
    <row r="10" spans="1:11">
      <c r="A10" s="13" t="s">
        <v>9</v>
      </c>
      <c r="B10" s="14">
        <f>595865267/1000</f>
        <v>595865.26699999999</v>
      </c>
      <c r="C10" s="14">
        <f>541868486.64/1000</f>
        <v>541868.48664000002</v>
      </c>
      <c r="D10" s="24">
        <f t="shared" ref="D10:D73" si="0">C10/B10*100</f>
        <v>90.938088969028627</v>
      </c>
      <c r="E10" s="14">
        <f>541882100/1000</f>
        <v>541882.1</v>
      </c>
      <c r="F10" s="14">
        <f>514536291.95/1000</f>
        <v>514536.29194999998</v>
      </c>
      <c r="G10" s="24">
        <f t="shared" ref="G10:G13" si="1">F10/E10*100</f>
        <v>94.953550218765301</v>
      </c>
      <c r="H10" s="38">
        <f t="shared" ref="H10:H74" si="2">F10/E10*100</f>
        <v>94.953550218765301</v>
      </c>
      <c r="I10" s="10">
        <f t="shared" ref="I10:I74" si="3">C10-F10</f>
        <v>27332.194690000033</v>
      </c>
      <c r="J10" s="10">
        <f t="shared" ref="J10:J74" si="4">I10/F10</f>
        <v>5.3120052205483763E-2</v>
      </c>
      <c r="K10" s="26"/>
    </row>
    <row r="11" spans="1:11">
      <c r="A11" s="13" t="s">
        <v>84</v>
      </c>
      <c r="B11" s="14">
        <f>3621320042.9/1000</f>
        <v>3621320.0429000002</v>
      </c>
      <c r="C11" s="14">
        <f>3736137487.06/1000</f>
        <v>3736137.4870599997</v>
      </c>
      <c r="D11" s="24">
        <f t="shared" si="0"/>
        <v>103.17059643444418</v>
      </c>
      <c r="E11" s="14">
        <f>3370000000/1000</f>
        <v>3370000</v>
      </c>
      <c r="F11" s="14">
        <f>3528499577.99/1000</f>
        <v>3528499.5779899997</v>
      </c>
      <c r="G11" s="24">
        <f t="shared" si="1"/>
        <v>104.70325157240354</v>
      </c>
      <c r="H11" s="38">
        <f t="shared" si="2"/>
        <v>104.70325157240354</v>
      </c>
      <c r="I11" s="10">
        <f t="shared" si="3"/>
        <v>207637.90907000005</v>
      </c>
      <c r="J11" s="10">
        <f t="shared" si="4"/>
        <v>5.8845949809714991E-2</v>
      </c>
      <c r="K11" s="26"/>
    </row>
    <row r="12" spans="1:11">
      <c r="A12" s="13" t="s">
        <v>83</v>
      </c>
      <c r="B12" s="14">
        <f>2400000/1000</f>
        <v>2400</v>
      </c>
      <c r="C12" s="14">
        <f>2470733.25/1000</f>
        <v>2470.7332500000002</v>
      </c>
      <c r="D12" s="24">
        <f t="shared" si="0"/>
        <v>102.94721875000002</v>
      </c>
      <c r="E12" s="14">
        <f>1800000/1000</f>
        <v>1800</v>
      </c>
      <c r="F12" s="14">
        <f>2182209.97/1000</f>
        <v>2182.2099700000003</v>
      </c>
      <c r="G12" s="24">
        <f t="shared" si="1"/>
        <v>121.23388722222224</v>
      </c>
      <c r="H12" s="38">
        <f t="shared" si="2"/>
        <v>121.23388722222224</v>
      </c>
      <c r="I12" s="10">
        <f t="shared" si="3"/>
        <v>288.52327999999989</v>
      </c>
      <c r="J12" s="10">
        <f t="shared" si="4"/>
        <v>0.13221609467763537</v>
      </c>
    </row>
    <row r="13" spans="1:11">
      <c r="A13" s="13" t="s">
        <v>10</v>
      </c>
      <c r="B13" s="14">
        <f>4209700000/1000</f>
        <v>4209700</v>
      </c>
      <c r="C13" s="14">
        <f>4265246042.71/1000</f>
        <v>4265246.0427099997</v>
      </c>
      <c r="D13" s="24">
        <f t="shared" si="0"/>
        <v>101.31947746181437</v>
      </c>
      <c r="E13" s="14">
        <f>3796470200/1000</f>
        <v>3796470.2</v>
      </c>
      <c r="F13" s="14">
        <f>3944297000.81/1000</f>
        <v>3944297.0008100001</v>
      </c>
      <c r="G13" s="24">
        <f t="shared" si="1"/>
        <v>103.8937958951976</v>
      </c>
      <c r="H13" s="38">
        <f t="shared" si="2"/>
        <v>103.8937958951976</v>
      </c>
      <c r="I13" s="10">
        <f t="shared" si="3"/>
        <v>320949.0418999996</v>
      </c>
      <c r="J13" s="10">
        <f t="shared" si="4"/>
        <v>8.1370404367138063E-2</v>
      </c>
    </row>
    <row r="14" spans="1:11">
      <c r="A14" s="13" t="s">
        <v>11</v>
      </c>
      <c r="B14" s="14">
        <v>0</v>
      </c>
      <c r="C14" s="14">
        <v>0</v>
      </c>
      <c r="D14" s="24">
        <v>0</v>
      </c>
      <c r="E14" s="14">
        <v>0</v>
      </c>
      <c r="F14" s="14">
        <v>0</v>
      </c>
      <c r="G14" s="24">
        <v>0</v>
      </c>
      <c r="H14" s="38">
        <v>0</v>
      </c>
      <c r="I14" s="10">
        <f t="shared" si="3"/>
        <v>0</v>
      </c>
      <c r="J14" s="10">
        <v>0</v>
      </c>
    </row>
    <row r="15" spans="1:11">
      <c r="A15" s="13" t="s">
        <v>12</v>
      </c>
      <c r="B15" s="14">
        <f>(1000000+84442000)/1000</f>
        <v>85442</v>
      </c>
      <c r="C15" s="14">
        <f>(725000+79420462.68)/1000</f>
        <v>80145.462680000011</v>
      </c>
      <c r="D15" s="24">
        <f t="shared" si="0"/>
        <v>93.801014348915075</v>
      </c>
      <c r="E15" s="14">
        <f>(1064000+78686000)/1000</f>
        <v>79750</v>
      </c>
      <c r="F15" s="14">
        <f>(1130000+80677068.07)/1000</f>
        <v>81807.068069999994</v>
      </c>
      <c r="G15" s="24">
        <f t="shared" ref="G15" si="5">F15/E15*100</f>
        <v>102.57939569905956</v>
      </c>
      <c r="H15" s="38">
        <f t="shared" si="2"/>
        <v>102.57939569905956</v>
      </c>
      <c r="I15" s="10">
        <f t="shared" si="3"/>
        <v>-1661.6053899999824</v>
      </c>
      <c r="J15" s="10">
        <f t="shared" si="4"/>
        <v>-2.0311269297393641E-2</v>
      </c>
    </row>
    <row r="16" spans="1:11" ht="56.25">
      <c r="A16" s="13" t="s">
        <v>13</v>
      </c>
      <c r="B16" s="14">
        <v>0</v>
      </c>
      <c r="C16" s="14">
        <v>0</v>
      </c>
      <c r="D16" s="24">
        <v>0</v>
      </c>
      <c r="E16" s="14">
        <v>0</v>
      </c>
      <c r="F16" s="14">
        <v>0</v>
      </c>
      <c r="G16" s="9"/>
      <c r="H16" s="38">
        <v>0</v>
      </c>
      <c r="I16" s="10">
        <f t="shared" si="3"/>
        <v>0</v>
      </c>
      <c r="J16" s="10">
        <v>0</v>
      </c>
    </row>
    <row r="17" spans="1:11" ht="56.25">
      <c r="A17" s="13" t="s">
        <v>14</v>
      </c>
      <c r="B17" s="14">
        <f>187207900/1000</f>
        <v>187207.9</v>
      </c>
      <c r="C17" s="14">
        <f>206821566.8/1000</f>
        <v>206821.5668</v>
      </c>
      <c r="D17" s="24">
        <f t="shared" si="0"/>
        <v>110.47694397512072</v>
      </c>
      <c r="E17" s="14">
        <f>233500000/1000</f>
        <v>233500</v>
      </c>
      <c r="F17" s="14">
        <f>250928560.64/1000</f>
        <v>250928.56063999998</v>
      </c>
      <c r="G17" s="24">
        <f t="shared" ref="G17:G23" si="6">F17/E17*100</f>
        <v>107.46405166595288</v>
      </c>
      <c r="H17" s="38">
        <f t="shared" si="2"/>
        <v>107.46405166595288</v>
      </c>
      <c r="I17" s="10">
        <f t="shared" si="3"/>
        <v>-44106.993839999981</v>
      </c>
      <c r="J17" s="10">
        <f t="shared" si="4"/>
        <v>-0.1757751039877801</v>
      </c>
    </row>
    <row r="18" spans="1:11" ht="37.5">
      <c r="A18" s="13" t="s">
        <v>15</v>
      </c>
      <c r="B18" s="14">
        <f>35300000/1000</f>
        <v>35300</v>
      </c>
      <c r="C18" s="14">
        <f>35588105.73/1000</f>
        <v>35588.105729999996</v>
      </c>
      <c r="D18" s="24">
        <f t="shared" si="0"/>
        <v>100.81616354107648</v>
      </c>
      <c r="E18" s="14">
        <f>52000000/1000</f>
        <v>52000</v>
      </c>
      <c r="F18" s="14">
        <f>52540570.08/1000</f>
        <v>52540.570079999998</v>
      </c>
      <c r="G18" s="24">
        <f t="shared" si="6"/>
        <v>101.03955784615384</v>
      </c>
      <c r="H18" s="38">
        <f t="shared" si="2"/>
        <v>101.03955784615384</v>
      </c>
      <c r="I18" s="10">
        <f t="shared" si="3"/>
        <v>-16952.464350000002</v>
      </c>
      <c r="J18" s="10">
        <f t="shared" si="4"/>
        <v>-0.32265474706855335</v>
      </c>
    </row>
    <row r="19" spans="1:11" ht="37.5">
      <c r="A19" s="13" t="s">
        <v>16</v>
      </c>
      <c r="B19" s="14">
        <f>16727657.1/1000</f>
        <v>16727.6571</v>
      </c>
      <c r="C19" s="14">
        <f>15919973.67/1000</f>
        <v>15919.973669999999</v>
      </c>
      <c r="D19" s="24">
        <f t="shared" si="0"/>
        <v>95.171568707012767</v>
      </c>
      <c r="E19" s="14">
        <f>9698100/1000</f>
        <v>9698.1</v>
      </c>
      <c r="F19" s="14">
        <f>11145847.25/1000</f>
        <v>11145.847250000001</v>
      </c>
      <c r="G19" s="24">
        <f t="shared" si="6"/>
        <v>114.92815345273817</v>
      </c>
      <c r="H19" s="38">
        <f t="shared" si="2"/>
        <v>114.92815345273817</v>
      </c>
      <c r="I19" s="10">
        <f t="shared" si="3"/>
        <v>4774.1264199999987</v>
      </c>
      <c r="J19" s="10">
        <f t="shared" si="4"/>
        <v>0.42833230286733009</v>
      </c>
    </row>
    <row r="20" spans="1:11" ht="37.5">
      <c r="A20" s="13" t="s">
        <v>17</v>
      </c>
      <c r="B20" s="14">
        <f>369869000/1000</f>
        <v>369869</v>
      </c>
      <c r="C20" s="14">
        <f>400637319.91/1000</f>
        <v>400637.31991000002</v>
      </c>
      <c r="D20" s="24">
        <f t="shared" si="0"/>
        <v>108.31870740992082</v>
      </c>
      <c r="E20" s="14">
        <f>284000000/1000</f>
        <v>284000</v>
      </c>
      <c r="F20" s="14">
        <f>359907762.2/1000</f>
        <v>359907.7622</v>
      </c>
      <c r="G20" s="24">
        <f t="shared" si="6"/>
        <v>126.72808528169016</v>
      </c>
      <c r="H20" s="38">
        <f t="shared" si="2"/>
        <v>126.72808528169016</v>
      </c>
      <c r="I20" s="10">
        <f t="shared" si="3"/>
        <v>40729.557710000023</v>
      </c>
      <c r="J20" s="10">
        <f t="shared" si="4"/>
        <v>0.11316665542591629</v>
      </c>
    </row>
    <row r="21" spans="1:11">
      <c r="A21" s="13" t="s">
        <v>18</v>
      </c>
      <c r="B21" s="14">
        <f>11680000/1000</f>
        <v>11680</v>
      </c>
      <c r="C21" s="14">
        <f>11727175.18/1000</f>
        <v>11727.17518</v>
      </c>
      <c r="D21" s="24">
        <f t="shared" si="0"/>
        <v>100.4038970890411</v>
      </c>
      <c r="E21" s="14">
        <f>7000000/1000</f>
        <v>7000</v>
      </c>
      <c r="F21" s="14">
        <f>7195770.33/1000</f>
        <v>7195.7703300000003</v>
      </c>
      <c r="G21" s="24">
        <f t="shared" si="6"/>
        <v>102.796719</v>
      </c>
      <c r="H21" s="38">
        <f t="shared" si="2"/>
        <v>102.796719</v>
      </c>
      <c r="I21" s="10">
        <f t="shared" si="3"/>
        <v>4531.4048499999999</v>
      </c>
      <c r="J21" s="10">
        <f t="shared" si="4"/>
        <v>0.62973172324692572</v>
      </c>
    </row>
    <row r="22" spans="1:11">
      <c r="A22" s="13" t="s">
        <v>19</v>
      </c>
      <c r="B22" s="14">
        <f>16610000/1000</f>
        <v>16610</v>
      </c>
      <c r="C22" s="14">
        <f>16687197.42/1000</f>
        <v>16687.19742</v>
      </c>
      <c r="D22" s="24">
        <f t="shared" si="0"/>
        <v>100.46476472004817</v>
      </c>
      <c r="E22" s="14">
        <f>14010000/1000</f>
        <v>14010</v>
      </c>
      <c r="F22" s="14">
        <f>14496687.82/1000</f>
        <v>14496.687820000001</v>
      </c>
      <c r="G22" s="24">
        <f t="shared" si="6"/>
        <v>103.47386024268381</v>
      </c>
      <c r="H22" s="38">
        <f t="shared" si="2"/>
        <v>103.47386024268381</v>
      </c>
      <c r="I22" s="10">
        <f t="shared" si="3"/>
        <v>2190.5095999999994</v>
      </c>
      <c r="J22" s="10">
        <f t="shared" si="4"/>
        <v>0.15110414373260603</v>
      </c>
    </row>
    <row r="23" spans="1:11">
      <c r="A23" s="13" t="s">
        <v>20</v>
      </c>
      <c r="B23" s="14">
        <f>11444170773.25/1000</f>
        <v>11444170.773250001</v>
      </c>
      <c r="C23" s="14">
        <f>11287139457.63/1000</f>
        <v>11287139.457629999</v>
      </c>
      <c r="D23" s="24">
        <f t="shared" si="0"/>
        <v>98.627848895902076</v>
      </c>
      <c r="E23" s="14">
        <f>11444170773.25/1000</f>
        <v>11444170.773250001</v>
      </c>
      <c r="F23" s="14">
        <f>11287139457.63/1000</f>
        <v>11287139.457629999</v>
      </c>
      <c r="G23" s="24">
        <f t="shared" si="6"/>
        <v>98.627848895902076</v>
      </c>
      <c r="H23" s="38">
        <f t="shared" si="2"/>
        <v>98.627848895902076</v>
      </c>
      <c r="I23" s="10">
        <f t="shared" si="3"/>
        <v>0</v>
      </c>
      <c r="J23" s="10">
        <f t="shared" si="4"/>
        <v>0</v>
      </c>
    </row>
    <row r="24" spans="1:11" ht="37.5">
      <c r="A24" s="13" t="s">
        <v>88</v>
      </c>
      <c r="B24" s="37">
        <v>0</v>
      </c>
      <c r="C24" s="37">
        <v>0</v>
      </c>
      <c r="D24" s="9">
        <v>0</v>
      </c>
      <c r="E24" s="37">
        <v>0</v>
      </c>
      <c r="F24" s="37">
        <v>0</v>
      </c>
      <c r="G24" s="9"/>
      <c r="H24" s="38">
        <v>0</v>
      </c>
      <c r="I24" s="10">
        <f t="shared" si="3"/>
        <v>0</v>
      </c>
      <c r="J24" s="10">
        <v>0</v>
      </c>
    </row>
    <row r="25" spans="1:11" ht="56.25">
      <c r="A25" s="13" t="s">
        <v>21</v>
      </c>
      <c r="B25" s="14">
        <f>13542703542.9/1000</f>
        <v>13542703.5429</v>
      </c>
      <c r="C25" s="14">
        <f>13511765986.75/1000</f>
        <v>13511765.986749999</v>
      </c>
      <c r="D25" s="24">
        <f t="shared" si="0"/>
        <v>99.771555538729785</v>
      </c>
      <c r="E25" s="14">
        <f>11444170773.25/1000</f>
        <v>11444170.773250001</v>
      </c>
      <c r="F25" s="14">
        <f>11290991216.22/1000</f>
        <v>11290991.216219999</v>
      </c>
      <c r="G25" s="24">
        <f t="shared" ref="G25" si="7">F25/E25*100</f>
        <v>98.661505843760665</v>
      </c>
      <c r="H25" s="38">
        <f t="shared" si="2"/>
        <v>98.661505843760665</v>
      </c>
      <c r="I25" s="10">
        <f t="shared" si="3"/>
        <v>2220774.7705300003</v>
      </c>
      <c r="J25" s="10">
        <f t="shared" si="4"/>
        <v>0.19668554584824768</v>
      </c>
    </row>
    <row r="26" spans="1:11">
      <c r="A26" s="13" t="s">
        <v>22</v>
      </c>
      <c r="B26" s="14">
        <v>0</v>
      </c>
      <c r="C26" s="14">
        <f>475020/1000</f>
        <v>475.02</v>
      </c>
      <c r="D26" s="24">
        <v>0</v>
      </c>
      <c r="E26" s="14">
        <v>0</v>
      </c>
      <c r="F26" s="14">
        <f>500100/1000</f>
        <v>500.1</v>
      </c>
      <c r="G26" s="24">
        <v>0</v>
      </c>
      <c r="H26" s="38">
        <v>0</v>
      </c>
      <c r="I26" s="10">
        <f t="shared" si="3"/>
        <v>-25.080000000000041</v>
      </c>
      <c r="J26" s="10">
        <f>I26/F26</f>
        <v>-5.0149970005998877E-2</v>
      </c>
      <c r="K26" s="26"/>
    </row>
    <row r="27" spans="1:11" ht="131.25">
      <c r="A27" s="13" t="s">
        <v>23</v>
      </c>
      <c r="B27" s="14">
        <v>0</v>
      </c>
      <c r="C27" s="14">
        <f>35142823.72/1000</f>
        <v>35142.82372</v>
      </c>
      <c r="D27" s="24">
        <v>0</v>
      </c>
      <c r="E27" s="14">
        <v>0</v>
      </c>
      <c r="F27" s="14">
        <f>310427.16/1000</f>
        <v>310.42715999999996</v>
      </c>
      <c r="G27" s="24">
        <v>0</v>
      </c>
      <c r="H27" s="38">
        <v>0</v>
      </c>
      <c r="I27" s="10">
        <f t="shared" si="3"/>
        <v>34832.396560000001</v>
      </c>
      <c r="J27" s="10">
        <v>0</v>
      </c>
      <c r="K27" s="26"/>
    </row>
    <row r="28" spans="1:11" ht="56.25">
      <c r="A28" s="13" t="s">
        <v>24</v>
      </c>
      <c r="B28" s="14">
        <v>0</v>
      </c>
      <c r="C28" s="14">
        <f>-39622116.53/1000</f>
        <v>-39622.116529999999</v>
      </c>
      <c r="D28" s="24">
        <v>0</v>
      </c>
      <c r="E28" s="14">
        <v>0</v>
      </c>
      <c r="F28" s="14">
        <f>-9424571.5/1000</f>
        <v>-9424.5715</v>
      </c>
      <c r="G28" s="24">
        <v>0</v>
      </c>
      <c r="H28" s="38">
        <v>0</v>
      </c>
      <c r="I28" s="10">
        <f>C28-F28</f>
        <v>-30197.545030000001</v>
      </c>
      <c r="J28" s="10">
        <f t="shared" si="4"/>
        <v>3.2041292307029559</v>
      </c>
    </row>
    <row r="29" spans="1:11" s="15" customFormat="1">
      <c r="A29" s="28" t="s">
        <v>25</v>
      </c>
      <c r="B29" s="14">
        <f>22668306678.72/1000</f>
        <v>22668306.678720001</v>
      </c>
      <c r="C29" s="14">
        <f>21987815450.4/1000</f>
        <v>21987815.450400002</v>
      </c>
      <c r="D29" s="24">
        <f t="shared" si="0"/>
        <v>96.998050017742116</v>
      </c>
      <c r="E29" s="14">
        <f>19739885835.09/1000</f>
        <v>19739885.83509</v>
      </c>
      <c r="F29" s="14">
        <f>18284849417.07/1000</f>
        <v>18284849.417070001</v>
      </c>
      <c r="G29" s="24">
        <f t="shared" ref="G29" si="8">F29/E29*100</f>
        <v>92.628952212917568</v>
      </c>
      <c r="H29" s="38">
        <f t="shared" si="2"/>
        <v>92.628952212917568</v>
      </c>
      <c r="I29" s="10">
        <f t="shared" si="3"/>
        <v>3702966.0333300009</v>
      </c>
      <c r="J29" s="10">
        <f t="shared" si="4"/>
        <v>0.20251553342698358</v>
      </c>
    </row>
    <row r="30" spans="1:11" s="15" customFormat="1">
      <c r="A30" s="29" t="s">
        <v>8</v>
      </c>
      <c r="B30" s="27"/>
      <c r="C30" s="27"/>
      <c r="D30" s="24"/>
      <c r="E30" s="27"/>
      <c r="F30" s="27"/>
      <c r="G30" s="24"/>
      <c r="H30" s="38"/>
      <c r="I30" s="10"/>
      <c r="J30" s="10"/>
    </row>
    <row r="31" spans="1:11" s="15" customFormat="1">
      <c r="A31" s="13" t="s">
        <v>26</v>
      </c>
      <c r="B31" s="14">
        <f>SUM(B32:B39)</f>
        <v>1279134.3143500001</v>
      </c>
      <c r="C31" s="14">
        <f>SUM(C32:C39)</f>
        <v>1138976.8348599998</v>
      </c>
      <c r="D31" s="24">
        <f t="shared" si="0"/>
        <v>89.042786365932017</v>
      </c>
      <c r="E31" s="14">
        <f>SUM(E32:E39)</f>
        <v>1182692.6601199999</v>
      </c>
      <c r="F31" s="14">
        <f>SUM(F32:F39)</f>
        <v>954217.04472999997</v>
      </c>
      <c r="G31" s="24">
        <f t="shared" ref="G31" si="9">F31/E31*100</f>
        <v>80.681742341512631</v>
      </c>
      <c r="H31" s="38">
        <f t="shared" si="2"/>
        <v>80.681742341512631</v>
      </c>
      <c r="I31" s="10">
        <f t="shared" si="3"/>
        <v>184759.79012999986</v>
      </c>
      <c r="J31" s="10">
        <f t="shared" si="4"/>
        <v>0.19362449156656858</v>
      </c>
      <c r="K31" s="30"/>
    </row>
    <row r="32" spans="1:11" s="15" customFormat="1" ht="56.25">
      <c r="A32" s="13" t="s">
        <v>27</v>
      </c>
      <c r="B32" s="37">
        <v>0</v>
      </c>
      <c r="C32" s="37">
        <v>0</v>
      </c>
      <c r="D32" s="24">
        <v>0</v>
      </c>
      <c r="E32" s="37">
        <v>0</v>
      </c>
      <c r="F32" s="37">
        <v>0</v>
      </c>
      <c r="G32" s="19"/>
      <c r="H32" s="38">
        <v>0</v>
      </c>
      <c r="I32" s="10">
        <f t="shared" si="3"/>
        <v>0</v>
      </c>
      <c r="J32" s="10">
        <v>0</v>
      </c>
      <c r="K32" s="30"/>
    </row>
    <row r="33" spans="1:11" s="15" customFormat="1" ht="56.25">
      <c r="A33" s="13" t="s">
        <v>28</v>
      </c>
      <c r="B33" s="48">
        <f>20986043.98/1000</f>
        <v>20986.043980000002</v>
      </c>
      <c r="C33" s="14">
        <f>18950492.84/1000</f>
        <v>18950.492839999999</v>
      </c>
      <c r="D33" s="24">
        <f t="shared" si="0"/>
        <v>90.300453282477093</v>
      </c>
      <c r="E33" s="14">
        <f>21911283.4/1000</f>
        <v>21911.2834</v>
      </c>
      <c r="F33" s="14">
        <f>17507875.77/1000</f>
        <v>17507.875769999999</v>
      </c>
      <c r="G33" s="24">
        <f t="shared" ref="G33:G36" si="10">F33/E33*100</f>
        <v>79.903470054154837</v>
      </c>
      <c r="H33" s="38">
        <f t="shared" si="2"/>
        <v>79.903470054154837</v>
      </c>
      <c r="I33" s="10">
        <f t="shared" si="3"/>
        <v>1442.6170700000002</v>
      </c>
      <c r="J33" s="10">
        <f>I33/F33</f>
        <v>8.2398178337085626E-2</v>
      </c>
      <c r="K33" s="30"/>
    </row>
    <row r="34" spans="1:11" s="15" customFormat="1" ht="75">
      <c r="A34" s="13" t="s">
        <v>29</v>
      </c>
      <c r="B34" s="14">
        <f>400302987.47/1000</f>
        <v>400302.98747000005</v>
      </c>
      <c r="C34" s="14">
        <f>375905248.39/1000</f>
        <v>375905.24838999996</v>
      </c>
      <c r="D34" s="24">
        <f t="shared" si="0"/>
        <v>93.905181863817958</v>
      </c>
      <c r="E34" s="14">
        <f>330991042.27/1000</f>
        <v>330991.04226999998</v>
      </c>
      <c r="F34" s="14">
        <f>326213364.3/1000</f>
        <v>326213.36430000002</v>
      </c>
      <c r="G34" s="24">
        <f t="shared" si="10"/>
        <v>98.5565536948572</v>
      </c>
      <c r="H34" s="38">
        <f t="shared" si="2"/>
        <v>98.5565536948572</v>
      </c>
      <c r="I34" s="10">
        <f t="shared" si="3"/>
        <v>49691.884089999949</v>
      </c>
      <c r="J34" s="10">
        <f t="shared" si="4"/>
        <v>0.15232939397388123</v>
      </c>
    </row>
    <row r="35" spans="1:11" s="15" customFormat="1">
      <c r="A35" s="13" t="s">
        <v>30</v>
      </c>
      <c r="B35" s="14">
        <f>61500/1000</f>
        <v>61.5</v>
      </c>
      <c r="C35" s="14">
        <f>35676/1000</f>
        <v>35.676000000000002</v>
      </c>
      <c r="D35" s="24">
        <f t="shared" si="0"/>
        <v>58.009756097560981</v>
      </c>
      <c r="E35" s="14">
        <f>944700/1000</f>
        <v>944.7</v>
      </c>
      <c r="F35" s="14">
        <f>530151.7/1000</f>
        <v>530.15170000000001</v>
      </c>
      <c r="G35" s="24">
        <f t="shared" si="10"/>
        <v>56.11852439928019</v>
      </c>
      <c r="H35" s="38">
        <f t="shared" si="2"/>
        <v>56.11852439928019</v>
      </c>
      <c r="I35" s="10">
        <f t="shared" si="3"/>
        <v>-494.47570000000002</v>
      </c>
      <c r="J35" s="10">
        <f t="shared" si="4"/>
        <v>-0.93270605375782067</v>
      </c>
    </row>
    <row r="36" spans="1:11" s="15" customFormat="1" ht="56.25">
      <c r="A36" s="13" t="s">
        <v>31</v>
      </c>
      <c r="B36" s="14">
        <f>85776786.8/1000</f>
        <v>85776.786800000002</v>
      </c>
      <c r="C36" s="14">
        <f>79713924.01/1000</f>
        <v>79713.924010000002</v>
      </c>
      <c r="D36" s="24">
        <f t="shared" si="0"/>
        <v>92.931814053449713</v>
      </c>
      <c r="E36" s="14">
        <f>68883219.7/1000</f>
        <v>68883.219700000001</v>
      </c>
      <c r="F36" s="14">
        <f>65669054.15/1000</f>
        <v>65669.054149999996</v>
      </c>
      <c r="G36" s="24">
        <f t="shared" si="10"/>
        <v>95.333891818648524</v>
      </c>
      <c r="H36" s="38">
        <f t="shared" si="2"/>
        <v>95.333891818648524</v>
      </c>
      <c r="I36" s="10">
        <f t="shared" si="3"/>
        <v>14044.869860000006</v>
      </c>
      <c r="J36" s="10">
        <f t="shared" si="4"/>
        <v>0.21387349097367817</v>
      </c>
    </row>
    <row r="37" spans="1:11" s="15" customFormat="1">
      <c r="A37" s="13" t="s">
        <v>32</v>
      </c>
      <c r="B37" s="37">
        <v>0</v>
      </c>
      <c r="C37" s="37">
        <v>0</v>
      </c>
      <c r="D37" s="24">
        <v>0</v>
      </c>
      <c r="E37" s="37">
        <v>0</v>
      </c>
      <c r="F37" s="37">
        <v>0</v>
      </c>
      <c r="G37" s="19"/>
      <c r="H37" s="38">
        <v>0</v>
      </c>
      <c r="I37" s="10">
        <f t="shared" si="3"/>
        <v>0</v>
      </c>
      <c r="J37" s="10">
        <v>0</v>
      </c>
    </row>
    <row r="38" spans="1:11" s="15" customFormat="1">
      <c r="A38" s="13" t="s">
        <v>33</v>
      </c>
      <c r="B38" s="14">
        <f>45413848.08/1000</f>
        <v>45413.848079999996</v>
      </c>
      <c r="C38" s="14">
        <v>0</v>
      </c>
      <c r="D38" s="24">
        <f>C38/B38*100</f>
        <v>0</v>
      </c>
      <c r="E38" s="14">
        <f>58920912.08/1000</f>
        <v>58920.912079999995</v>
      </c>
      <c r="F38" s="14">
        <v>0</v>
      </c>
      <c r="G38" s="24">
        <f t="shared" ref="G38:G39" si="11">F38/E38*100</f>
        <v>0</v>
      </c>
      <c r="H38" s="38">
        <f t="shared" si="2"/>
        <v>0</v>
      </c>
      <c r="I38" s="10">
        <f t="shared" si="3"/>
        <v>0</v>
      </c>
      <c r="J38" s="10">
        <v>0</v>
      </c>
    </row>
    <row r="39" spans="1:11" s="15" customFormat="1">
      <c r="A39" s="13" t="s">
        <v>34</v>
      </c>
      <c r="B39" s="14">
        <f>726593148.02/1000</f>
        <v>726593.14801999996</v>
      </c>
      <c r="C39" s="14">
        <f>664371493.62/1000</f>
        <v>664371.49361999996</v>
      </c>
      <c r="D39" s="24">
        <f t="shared" si="0"/>
        <v>91.436520620988944</v>
      </c>
      <c r="E39" s="14">
        <f>701041502.67/1000</f>
        <v>701041.50266999996</v>
      </c>
      <c r="F39" s="14">
        <f>544296598.81/1000</f>
        <v>544296.59881</v>
      </c>
      <c r="G39" s="24">
        <f t="shared" si="11"/>
        <v>77.641137755322859</v>
      </c>
      <c r="H39" s="38">
        <f t="shared" si="2"/>
        <v>77.641137755322859</v>
      </c>
      <c r="I39" s="10">
        <f t="shared" si="3"/>
        <v>120074.89480999997</v>
      </c>
      <c r="J39" s="10">
        <f t="shared" si="4"/>
        <v>0.22060563132770014</v>
      </c>
    </row>
    <row r="40" spans="1:11" s="15" customFormat="1">
      <c r="A40" s="13" t="s">
        <v>35</v>
      </c>
      <c r="B40" s="37">
        <v>0</v>
      </c>
      <c r="C40" s="37">
        <v>0</v>
      </c>
      <c r="D40" s="19">
        <v>0</v>
      </c>
      <c r="E40" s="37">
        <v>0</v>
      </c>
      <c r="F40" s="37">
        <v>0</v>
      </c>
      <c r="G40" s="19"/>
      <c r="H40" s="38">
        <v>0</v>
      </c>
      <c r="I40" s="10">
        <f t="shared" si="3"/>
        <v>0</v>
      </c>
      <c r="J40" s="10">
        <v>0</v>
      </c>
    </row>
    <row r="41" spans="1:11" s="15" customFormat="1">
      <c r="A41" s="13" t="s">
        <v>36</v>
      </c>
      <c r="B41" s="37">
        <v>0</v>
      </c>
      <c r="C41" s="37">
        <v>0</v>
      </c>
      <c r="D41" s="19">
        <v>0</v>
      </c>
      <c r="E41" s="37">
        <v>0</v>
      </c>
      <c r="F41" s="37">
        <v>0</v>
      </c>
      <c r="G41" s="19"/>
      <c r="H41" s="38">
        <v>0</v>
      </c>
      <c r="I41" s="10">
        <f t="shared" si="3"/>
        <v>0</v>
      </c>
      <c r="J41" s="10">
        <v>0</v>
      </c>
    </row>
    <row r="42" spans="1:11" s="15" customFormat="1" ht="37.5">
      <c r="A42" s="13" t="s">
        <v>37</v>
      </c>
      <c r="B42" s="14">
        <f>SUM(B43:B46)</f>
        <v>34124.584000000003</v>
      </c>
      <c r="C42" s="14">
        <f>SUM(C43:C46)</f>
        <v>26464.38812</v>
      </c>
      <c r="D42" s="24">
        <f t="shared" si="0"/>
        <v>77.552265897219428</v>
      </c>
      <c r="E42" s="14">
        <f>SUM(E43:E46)</f>
        <v>29620.112999999998</v>
      </c>
      <c r="F42" s="14">
        <f>SUM(F43:F46)</f>
        <v>27154.775309999997</v>
      </c>
      <c r="G42" s="24">
        <f t="shared" ref="G42:G43" si="12">F42/E42*100</f>
        <v>91.676812002709113</v>
      </c>
      <c r="H42" s="38">
        <f t="shared" si="2"/>
        <v>91.676812002709113</v>
      </c>
      <c r="I42" s="10">
        <f t="shared" si="3"/>
        <v>-690.38718999999764</v>
      </c>
      <c r="J42" s="10">
        <f t="shared" si="4"/>
        <v>-2.5424154025158005E-2</v>
      </c>
    </row>
    <row r="43" spans="1:11" s="15" customFormat="1" ht="56.25">
      <c r="A43" s="13" t="s">
        <v>38</v>
      </c>
      <c r="B43" s="14">
        <f>4439400/1000</f>
        <v>4439.3999999999996</v>
      </c>
      <c r="C43" s="14">
        <f>4393254.12/1000</f>
        <v>4393.2541200000005</v>
      </c>
      <c r="D43" s="24">
        <f t="shared" si="0"/>
        <v>98.960537910528473</v>
      </c>
      <c r="E43" s="14">
        <f>14090000/1000</f>
        <v>14090</v>
      </c>
      <c r="F43" s="14">
        <f>11624662.31/1000</f>
        <v>11624.66231</v>
      </c>
      <c r="G43" s="24">
        <f t="shared" si="12"/>
        <v>82.502926259758695</v>
      </c>
      <c r="H43" s="38">
        <f t="shared" si="2"/>
        <v>82.502926259758695</v>
      </c>
      <c r="I43" s="10">
        <f t="shared" si="3"/>
        <v>-7231.4081899999992</v>
      </c>
      <c r="J43" s="10">
        <f t="shared" si="4"/>
        <v>-0.62207468889476925</v>
      </c>
    </row>
    <row r="44" spans="1:11" s="15" customFormat="1">
      <c r="A44" s="13" t="s">
        <v>39</v>
      </c>
      <c r="B44" s="37">
        <v>0</v>
      </c>
      <c r="C44" s="37">
        <f>SUM(B44)</f>
        <v>0</v>
      </c>
      <c r="D44" s="24">
        <v>0</v>
      </c>
      <c r="E44" s="37">
        <v>0</v>
      </c>
      <c r="F44" s="37">
        <f>SUM(E44)</f>
        <v>0</v>
      </c>
      <c r="G44" s="19"/>
      <c r="H44" s="38">
        <v>0</v>
      </c>
      <c r="I44" s="10">
        <f t="shared" si="3"/>
        <v>0</v>
      </c>
      <c r="J44" s="10">
        <v>0</v>
      </c>
    </row>
    <row r="45" spans="1:11" s="15" customFormat="1">
      <c r="A45" s="13" t="s">
        <v>100</v>
      </c>
      <c r="B45" s="37">
        <f>8360600/1000</f>
        <v>8360.6</v>
      </c>
      <c r="C45" s="37">
        <f>746550/1000</f>
        <v>746.55</v>
      </c>
      <c r="D45" s="24">
        <f t="shared" si="0"/>
        <v>8.9293830586321548</v>
      </c>
      <c r="E45" s="37">
        <v>0</v>
      </c>
      <c r="F45" s="37">
        <f>SUM(E45)</f>
        <v>0</v>
      </c>
      <c r="G45" s="49"/>
      <c r="H45" s="38">
        <v>0</v>
      </c>
      <c r="I45" s="10">
        <f>C45-F45</f>
        <v>746.55</v>
      </c>
      <c r="J45" s="10">
        <v>0</v>
      </c>
    </row>
    <row r="46" spans="1:11" s="15" customFormat="1" ht="37.5">
      <c r="A46" s="13" t="s">
        <v>40</v>
      </c>
      <c r="B46" s="14">
        <f>21324584/1000</f>
        <v>21324.583999999999</v>
      </c>
      <c r="C46" s="14">
        <f>21324584/1000</f>
        <v>21324.583999999999</v>
      </c>
      <c r="D46" s="24">
        <f t="shared" si="0"/>
        <v>100</v>
      </c>
      <c r="E46" s="14">
        <f>15530113/1000</f>
        <v>15530.112999999999</v>
      </c>
      <c r="F46" s="14">
        <f>15530113/1000</f>
        <v>15530.112999999999</v>
      </c>
      <c r="G46" s="24">
        <f t="shared" ref="G46:G47" si="13">F46/E46*100</f>
        <v>100</v>
      </c>
      <c r="H46" s="38">
        <f t="shared" si="2"/>
        <v>100</v>
      </c>
      <c r="I46" s="10">
        <f t="shared" si="3"/>
        <v>5794.4709999999995</v>
      </c>
      <c r="J46" s="10">
        <f t="shared" si="4"/>
        <v>0.37311196641003191</v>
      </c>
    </row>
    <row r="47" spans="1:11" s="15" customFormat="1">
      <c r="A47" s="13" t="s">
        <v>41</v>
      </c>
      <c r="B47" s="14">
        <f>SUM(B48:B53)</f>
        <v>188813.77065999998</v>
      </c>
      <c r="C47" s="14">
        <f>SUM(C48:C53)</f>
        <v>184445.29434999998</v>
      </c>
      <c r="D47" s="24">
        <f t="shared" si="0"/>
        <v>97.686357147187962</v>
      </c>
      <c r="E47" s="14">
        <f>SUM(E48:E53)</f>
        <v>166199.14819000001</v>
      </c>
      <c r="F47" s="14">
        <f>SUM(F48:F53)</f>
        <v>152317.27077</v>
      </c>
      <c r="G47" s="24">
        <f t="shared" si="13"/>
        <v>91.647443701618641</v>
      </c>
      <c r="H47" s="38">
        <f t="shared" si="2"/>
        <v>91.647443701618641</v>
      </c>
      <c r="I47" s="10">
        <f t="shared" si="3"/>
        <v>32128.023579999979</v>
      </c>
      <c r="J47" s="10">
        <f t="shared" si="4"/>
        <v>0.21092830391186229</v>
      </c>
    </row>
    <row r="48" spans="1:11" s="15" customFormat="1">
      <c r="A48" s="13" t="s">
        <v>42</v>
      </c>
      <c r="B48" s="37">
        <v>0</v>
      </c>
      <c r="C48" s="37">
        <v>0</v>
      </c>
      <c r="D48" s="19"/>
      <c r="E48" s="37">
        <v>0</v>
      </c>
      <c r="F48" s="37">
        <v>0</v>
      </c>
      <c r="G48" s="19"/>
      <c r="H48" s="38">
        <v>0</v>
      </c>
      <c r="I48" s="10">
        <f t="shared" si="3"/>
        <v>0</v>
      </c>
      <c r="J48" s="10">
        <v>0</v>
      </c>
    </row>
    <row r="49" spans="1:10" s="15" customFormat="1">
      <c r="A49" s="13" t="s">
        <v>43</v>
      </c>
      <c r="B49" s="14">
        <f>16800000/1000</f>
        <v>16800</v>
      </c>
      <c r="C49" s="14">
        <f>16800000/1000</f>
        <v>16800</v>
      </c>
      <c r="D49" s="24">
        <f t="shared" si="0"/>
        <v>100</v>
      </c>
      <c r="E49" s="14">
        <f>15284000/1000</f>
        <v>15284</v>
      </c>
      <c r="F49" s="14">
        <f>15284000/1000</f>
        <v>15284</v>
      </c>
      <c r="G49" s="24">
        <f t="shared" ref="G49" si="14">F49/E49*100</f>
        <v>100</v>
      </c>
      <c r="H49" s="38">
        <f t="shared" si="2"/>
        <v>100</v>
      </c>
      <c r="I49" s="10">
        <f t="shared" si="3"/>
        <v>1516</v>
      </c>
      <c r="J49" s="10">
        <f t="shared" si="4"/>
        <v>9.918869405914682E-2</v>
      </c>
    </row>
    <row r="50" spans="1:10" s="15" customFormat="1">
      <c r="A50" s="13" t="s">
        <v>86</v>
      </c>
      <c r="B50" s="37">
        <f>2553488.79/1000</f>
        <v>2553.4887899999999</v>
      </c>
      <c r="C50" s="37">
        <f>1422030.43/1000</f>
        <v>1422.03043</v>
      </c>
      <c r="D50" s="24">
        <f t="shared" si="0"/>
        <v>55.689707179016047</v>
      </c>
      <c r="E50" s="37">
        <v>0</v>
      </c>
      <c r="F50" s="37">
        <v>0</v>
      </c>
      <c r="G50" s="19"/>
      <c r="H50" s="38">
        <v>0</v>
      </c>
      <c r="I50" s="10">
        <f>C50-F50</f>
        <v>1422.03043</v>
      </c>
      <c r="J50" s="10">
        <v>0</v>
      </c>
    </row>
    <row r="51" spans="1:10" s="15" customFormat="1">
      <c r="A51" s="13" t="s">
        <v>44</v>
      </c>
      <c r="B51" s="14">
        <f>63908947.36/1000</f>
        <v>63908.947359999998</v>
      </c>
      <c r="C51" s="14">
        <f>63361949.57/1000</f>
        <v>63361.949569999997</v>
      </c>
      <c r="D51" s="24">
        <f t="shared" si="0"/>
        <v>99.144098263864748</v>
      </c>
      <c r="E51" s="14">
        <f>53633272.05/1000</f>
        <v>53633.27205</v>
      </c>
      <c r="F51" s="14">
        <f>48393287.43/1000</f>
        <v>48393.287429999997</v>
      </c>
      <c r="G51" s="24">
        <f t="shared" ref="G51:G69" si="15">F51/E51*100</f>
        <v>90.229974007338214</v>
      </c>
      <c r="H51" s="38">
        <f t="shared" si="2"/>
        <v>90.229974007338214</v>
      </c>
      <c r="I51" s="10">
        <f t="shared" si="3"/>
        <v>14968.66214</v>
      </c>
      <c r="J51" s="10">
        <f t="shared" si="4"/>
        <v>0.30931277734855056</v>
      </c>
    </row>
    <row r="52" spans="1:10" s="15" customFormat="1">
      <c r="A52" s="13" t="s">
        <v>45</v>
      </c>
      <c r="B52" s="14">
        <f>5500000/1000</f>
        <v>5500</v>
      </c>
      <c r="C52" s="14">
        <f>5500000/1000</f>
        <v>5500</v>
      </c>
      <c r="D52" s="24">
        <f t="shared" si="0"/>
        <v>100</v>
      </c>
      <c r="E52" s="14">
        <f>5400000/1000</f>
        <v>5400</v>
      </c>
      <c r="F52" s="14">
        <f>5400000/1000</f>
        <v>5400</v>
      </c>
      <c r="G52" s="24">
        <f t="shared" si="15"/>
        <v>100</v>
      </c>
      <c r="H52" s="38">
        <f t="shared" si="2"/>
        <v>100</v>
      </c>
      <c r="I52" s="10">
        <f t="shared" si="3"/>
        <v>100</v>
      </c>
      <c r="J52" s="10">
        <f t="shared" si="4"/>
        <v>1.8518518518518517E-2</v>
      </c>
    </row>
    <row r="53" spans="1:10" s="15" customFormat="1">
      <c r="A53" s="13" t="s">
        <v>46</v>
      </c>
      <c r="B53" s="14">
        <f>100051334.51/1000</f>
        <v>100051.33451</v>
      </c>
      <c r="C53" s="14">
        <f>97361314.35/1000</f>
        <v>97361.314350000001</v>
      </c>
      <c r="D53" s="24">
        <f t="shared" si="0"/>
        <v>97.311360040149054</v>
      </c>
      <c r="E53" s="14">
        <f>91881876.14/1000</f>
        <v>91881.876140000008</v>
      </c>
      <c r="F53" s="14">
        <f>83239983.34/1000</f>
        <v>83239.983340000006</v>
      </c>
      <c r="G53" s="24">
        <f t="shared" si="15"/>
        <v>90.594562101853043</v>
      </c>
      <c r="H53" s="38">
        <f t="shared" si="2"/>
        <v>90.594562101853043</v>
      </c>
      <c r="I53" s="10">
        <f t="shared" si="3"/>
        <v>14121.331009999994</v>
      </c>
      <c r="J53" s="10">
        <f t="shared" si="4"/>
        <v>0.16964600956634446</v>
      </c>
    </row>
    <row r="54" spans="1:10" s="15" customFormat="1">
      <c r="A54" s="13" t="s">
        <v>47</v>
      </c>
      <c r="B54" s="14">
        <f>SUM(B55:B58)</f>
        <v>35825.008260000002</v>
      </c>
      <c r="C54" s="14">
        <f>SUM(C55:C58)</f>
        <v>34186.062160000001</v>
      </c>
      <c r="D54" s="24">
        <f t="shared" si="0"/>
        <v>95.425134062481305</v>
      </c>
      <c r="E54" s="14">
        <f>SUM(E55:E58)</f>
        <v>58670.484179999999</v>
      </c>
      <c r="F54" s="14">
        <f>SUM(F55:F58)</f>
        <v>30873.504839999998</v>
      </c>
      <c r="G54" s="24">
        <f t="shared" si="15"/>
        <v>52.621868170169918</v>
      </c>
      <c r="H54" s="38">
        <f t="shared" si="2"/>
        <v>52.621868170169918</v>
      </c>
      <c r="I54" s="10">
        <f t="shared" si="3"/>
        <v>3312.5573200000035</v>
      </c>
      <c r="J54" s="10">
        <f t="shared" si="4"/>
        <v>0.10729450177966914</v>
      </c>
    </row>
    <row r="55" spans="1:10" s="15" customFormat="1">
      <c r="A55" s="13" t="s">
        <v>48</v>
      </c>
      <c r="B55" s="14">
        <f>2265510/1000</f>
        <v>2265.5100000000002</v>
      </c>
      <c r="C55" s="14">
        <f>627683.01/1000</f>
        <v>627.68300999999997</v>
      </c>
      <c r="D55" s="24">
        <f t="shared" si="0"/>
        <v>27.706035727054829</v>
      </c>
      <c r="E55" s="14">
        <f>3025110/1000</f>
        <v>3025.11</v>
      </c>
      <c r="F55" s="14">
        <f>696573.22/1000</f>
        <v>696.57321999999999</v>
      </c>
      <c r="G55" s="24">
        <f t="shared" si="15"/>
        <v>23.026376561513466</v>
      </c>
      <c r="H55" s="38">
        <f t="shared" si="2"/>
        <v>23.026376561513466</v>
      </c>
      <c r="I55" s="10">
        <f t="shared" si="3"/>
        <v>-68.890210000000025</v>
      </c>
      <c r="J55" s="10">
        <f t="shared" si="4"/>
        <v>-9.8898734579546468E-2</v>
      </c>
    </row>
    <row r="56" spans="1:10" s="15" customFormat="1">
      <c r="A56" s="13" t="s">
        <v>49</v>
      </c>
      <c r="B56" s="14">
        <f>1546230.08/1000</f>
        <v>1546.23008</v>
      </c>
      <c r="C56" s="14">
        <f>1545190.97/1000</f>
        <v>1545.1909699999999</v>
      </c>
      <c r="D56" s="24">
        <f t="shared" si="0"/>
        <v>99.932797194063113</v>
      </c>
      <c r="E56" s="14">
        <f>33549454.46/1000</f>
        <v>33549.454460000001</v>
      </c>
      <c r="F56" s="14">
        <f>8081066.8/1000</f>
        <v>8081.0667999999996</v>
      </c>
      <c r="G56" s="24">
        <f t="shared" si="15"/>
        <v>24.087028925119515</v>
      </c>
      <c r="H56" s="38">
        <f t="shared" si="2"/>
        <v>24.087028925119515</v>
      </c>
      <c r="I56" s="10">
        <f t="shared" si="3"/>
        <v>-6535.87583</v>
      </c>
      <c r="J56" s="10">
        <f t="shared" si="4"/>
        <v>-0.80878873937782569</v>
      </c>
    </row>
    <row r="57" spans="1:10" s="15" customFormat="1">
      <c r="A57" s="13" t="s">
        <v>50</v>
      </c>
      <c r="B57" s="14">
        <v>0</v>
      </c>
      <c r="C57" s="14">
        <v>0</v>
      </c>
      <c r="D57" s="24">
        <v>0</v>
      </c>
      <c r="E57" s="14">
        <v>0</v>
      </c>
      <c r="F57" s="14">
        <v>0</v>
      </c>
      <c r="G57" s="24" t="e">
        <f t="shared" si="15"/>
        <v>#DIV/0!</v>
      </c>
      <c r="H57" s="38">
        <v>0</v>
      </c>
      <c r="I57" s="10">
        <f t="shared" si="3"/>
        <v>0</v>
      </c>
      <c r="J57" s="10">
        <v>0</v>
      </c>
    </row>
    <row r="58" spans="1:10" s="15" customFormat="1" ht="37.5">
      <c r="A58" s="13" t="s">
        <v>51</v>
      </c>
      <c r="B58" s="14">
        <f>32013268.18/1000</f>
        <v>32013.268179999999</v>
      </c>
      <c r="C58" s="14">
        <f>32013188.18/1000</f>
        <v>32013.188180000001</v>
      </c>
      <c r="D58" s="24">
        <f t="shared" si="0"/>
        <v>99.999750103614701</v>
      </c>
      <c r="E58" s="14">
        <f>22095919.72/1000</f>
        <v>22095.919719999998</v>
      </c>
      <c r="F58" s="14">
        <f>22095864.82/1000</f>
        <v>22095.864819999999</v>
      </c>
      <c r="G58" s="24">
        <f t="shared" si="15"/>
        <v>99.999751537837327</v>
      </c>
      <c r="H58" s="38">
        <f t="shared" si="2"/>
        <v>99.999751537837327</v>
      </c>
      <c r="I58" s="10">
        <f t="shared" si="3"/>
        <v>9917.3233600000021</v>
      </c>
      <c r="J58" s="10">
        <f t="shared" si="4"/>
        <v>0.44883164523270297</v>
      </c>
    </row>
    <row r="59" spans="1:10" s="15" customFormat="1">
      <c r="A59" s="13" t="s">
        <v>52</v>
      </c>
      <c r="B59" s="14">
        <f>SUM(B60)</f>
        <v>26000</v>
      </c>
      <c r="C59" s="14">
        <f>SUM(C60)</f>
        <v>17544.431499999999</v>
      </c>
      <c r="D59" s="24">
        <f t="shared" si="0"/>
        <v>67.478582692307683</v>
      </c>
      <c r="E59" s="14">
        <f>SUM(E60)</f>
        <v>4499.7947000000004</v>
      </c>
      <c r="F59" s="14">
        <f>SUM(F60)</f>
        <v>4499.7947000000004</v>
      </c>
      <c r="G59" s="24">
        <f t="shared" si="15"/>
        <v>100</v>
      </c>
      <c r="H59" s="38">
        <f t="shared" si="2"/>
        <v>100</v>
      </c>
      <c r="I59" s="10">
        <f t="shared" si="3"/>
        <v>13044.636799999998</v>
      </c>
      <c r="J59" s="10">
        <f t="shared" si="4"/>
        <v>2.8989404338824607</v>
      </c>
    </row>
    <row r="60" spans="1:10" s="15" customFormat="1">
      <c r="A60" s="13" t="s">
        <v>53</v>
      </c>
      <c r="B60" s="14">
        <f>26000000/1000</f>
        <v>26000</v>
      </c>
      <c r="C60" s="14">
        <f>17544431.5/1000</f>
        <v>17544.431499999999</v>
      </c>
      <c r="D60" s="24">
        <f t="shared" si="0"/>
        <v>67.478582692307683</v>
      </c>
      <c r="E60" s="14">
        <f>4499794.7/1000</f>
        <v>4499.7947000000004</v>
      </c>
      <c r="F60" s="14">
        <f>4499794.7/1000</f>
        <v>4499.7947000000004</v>
      </c>
      <c r="G60" s="24">
        <f t="shared" si="15"/>
        <v>100</v>
      </c>
      <c r="H60" s="38">
        <f t="shared" ref="H60" si="16">F60/E60*100</f>
        <v>100</v>
      </c>
      <c r="I60" s="10">
        <f t="shared" si="3"/>
        <v>13044.636799999998</v>
      </c>
      <c r="J60" s="10">
        <f t="shared" si="4"/>
        <v>2.8989404338824607</v>
      </c>
    </row>
    <row r="61" spans="1:10" s="15" customFormat="1">
      <c r="A61" s="13" t="s">
        <v>54</v>
      </c>
      <c r="B61" s="14">
        <f>SUM(B62:B67)</f>
        <v>17324651.327370003</v>
      </c>
      <c r="C61" s="14">
        <f>SUM(C62:C67)</f>
        <v>17074072.753670003</v>
      </c>
      <c r="D61" s="24">
        <f t="shared" si="0"/>
        <v>98.55362991747991</v>
      </c>
      <c r="E61" s="14">
        <f>SUM(E62:E67)</f>
        <v>14336212.6905</v>
      </c>
      <c r="F61" s="14">
        <f>SUM(F62:F67)</f>
        <v>13781872.236989999</v>
      </c>
      <c r="G61" s="24">
        <f t="shared" si="15"/>
        <v>96.133285230363953</v>
      </c>
      <c r="H61" s="38">
        <f t="shared" si="2"/>
        <v>96.133285230363953</v>
      </c>
      <c r="I61" s="10">
        <f t="shared" si="3"/>
        <v>3292200.5166800041</v>
      </c>
      <c r="J61" s="10">
        <f t="shared" si="4"/>
        <v>0.23887904778596541</v>
      </c>
    </row>
    <row r="62" spans="1:10" s="15" customFormat="1">
      <c r="A62" s="13" t="s">
        <v>55</v>
      </c>
      <c r="B62" s="14">
        <f>7129369104.79/1000</f>
        <v>7129369.1047900002</v>
      </c>
      <c r="C62" s="14">
        <f>7080610429.38/1000</f>
        <v>7080610.4293800006</v>
      </c>
      <c r="D62" s="24">
        <f t="shared" si="0"/>
        <v>99.316087094196874</v>
      </c>
      <c r="E62" s="14">
        <f>5677313560.38/1000</f>
        <v>5677313.5603799997</v>
      </c>
      <c r="F62" s="14">
        <f>5594273556.1/1000</f>
        <v>5594273.5561000006</v>
      </c>
      <c r="G62" s="24">
        <f t="shared" si="15"/>
        <v>98.537336305334506</v>
      </c>
      <c r="H62" s="38">
        <f t="shared" si="2"/>
        <v>98.537336305334506</v>
      </c>
      <c r="I62" s="10">
        <f t="shared" si="3"/>
        <v>1486336.8732799999</v>
      </c>
      <c r="J62" s="10">
        <f t="shared" si="4"/>
        <v>0.26568898684965037</v>
      </c>
    </row>
    <row r="63" spans="1:10" s="15" customFormat="1">
      <c r="A63" s="13" t="s">
        <v>56</v>
      </c>
      <c r="B63" s="14">
        <f>8507561566.13/1000</f>
        <v>8507561.5661299992</v>
      </c>
      <c r="C63" s="14">
        <f>8340134406.61/1000</f>
        <v>8340134.4066099999</v>
      </c>
      <c r="D63" s="24">
        <f t="shared" si="0"/>
        <v>98.032019419212276</v>
      </c>
      <c r="E63" s="14">
        <f>7216486299.63/1000</f>
        <v>7216486.2996300003</v>
      </c>
      <c r="F63" s="14">
        <f>6846474274.56/1000</f>
        <v>6846474.2745600007</v>
      </c>
      <c r="G63" s="24">
        <f t="shared" si="15"/>
        <v>94.872684438007298</v>
      </c>
      <c r="H63" s="38">
        <f t="shared" si="2"/>
        <v>94.872684438007298</v>
      </c>
      <c r="I63" s="10">
        <f t="shared" si="3"/>
        <v>1493660.1320499992</v>
      </c>
      <c r="J63" s="10">
        <f t="shared" si="4"/>
        <v>0.21816486444710867</v>
      </c>
    </row>
    <row r="64" spans="1:10" s="15" customFormat="1">
      <c r="A64" s="13" t="s">
        <v>57</v>
      </c>
      <c r="B64" s="14">
        <f>973210861.63/1000</f>
        <v>973210.86162999994</v>
      </c>
      <c r="C64" s="14">
        <f>970756350.67/1000</f>
        <v>970756.35066999996</v>
      </c>
      <c r="D64" s="24">
        <f t="shared" si="0"/>
        <v>99.747792481899651</v>
      </c>
      <c r="E64" s="14">
        <f>855387166.61/1000</f>
        <v>855387.16660999996</v>
      </c>
      <c r="F64" s="14">
        <f>849313109.41/1000</f>
        <v>849313.10940999992</v>
      </c>
      <c r="G64" s="24">
        <f t="shared" si="15"/>
        <v>99.289905502782759</v>
      </c>
      <c r="H64" s="38">
        <f t="shared" si="2"/>
        <v>99.289905502782759</v>
      </c>
      <c r="I64" s="10">
        <f t="shared" si="3"/>
        <v>121443.24126000004</v>
      </c>
      <c r="J64" s="10">
        <f t="shared" si="4"/>
        <v>0.14298995260342104</v>
      </c>
    </row>
    <row r="65" spans="1:10" s="15" customFormat="1" ht="37.5">
      <c r="A65" s="13" t="s">
        <v>58</v>
      </c>
      <c r="B65" s="14">
        <f>800000/1000</f>
        <v>800</v>
      </c>
      <c r="C65" s="14">
        <f>800000/1000</f>
        <v>800</v>
      </c>
      <c r="D65" s="24">
        <f t="shared" si="0"/>
        <v>100</v>
      </c>
      <c r="E65" s="14">
        <f>800000/1000</f>
        <v>800</v>
      </c>
      <c r="F65" s="14">
        <f>800000/1000</f>
        <v>800</v>
      </c>
      <c r="G65" s="24">
        <f t="shared" si="15"/>
        <v>100</v>
      </c>
      <c r="H65" s="38">
        <f t="shared" si="2"/>
        <v>100</v>
      </c>
      <c r="I65" s="10">
        <f t="shared" si="3"/>
        <v>0</v>
      </c>
      <c r="J65" s="10">
        <f t="shared" si="4"/>
        <v>0</v>
      </c>
    </row>
    <row r="66" spans="1:10" s="15" customFormat="1">
      <c r="A66" s="13" t="s">
        <v>89</v>
      </c>
      <c r="B66" s="14">
        <f>485097101.1/1000</f>
        <v>485097.10110000003</v>
      </c>
      <c r="C66" s="14">
        <f>456608693.91/1000</f>
        <v>456608.69391000003</v>
      </c>
      <c r="D66" s="24">
        <f t="shared" si="0"/>
        <v>94.127277379023695</v>
      </c>
      <c r="E66" s="14">
        <f>420850396.01/1000</f>
        <v>420850.39600999997</v>
      </c>
      <c r="F66" s="14">
        <f>327204343.3/1000</f>
        <v>327204.34330000001</v>
      </c>
      <c r="G66" s="24">
        <f t="shared" si="15"/>
        <v>77.748374814936653</v>
      </c>
      <c r="H66" s="38">
        <f t="shared" si="2"/>
        <v>77.748374814936653</v>
      </c>
      <c r="I66" s="10">
        <f t="shared" si="3"/>
        <v>129404.35061000002</v>
      </c>
      <c r="J66" s="10">
        <f t="shared" si="4"/>
        <v>0.39548481937892427</v>
      </c>
    </row>
    <row r="67" spans="1:10" s="15" customFormat="1">
      <c r="A67" s="13" t="s">
        <v>59</v>
      </c>
      <c r="B67" s="14">
        <f>228612693.72/1000</f>
        <v>228612.69372000001</v>
      </c>
      <c r="C67" s="14">
        <f>225162873.1/1000</f>
        <v>225162.8731</v>
      </c>
      <c r="D67" s="24">
        <f t="shared" si="0"/>
        <v>98.490975910451724</v>
      </c>
      <c r="E67" s="14">
        <f>165375267.87/1000</f>
        <v>165375.26787000001</v>
      </c>
      <c r="F67" s="14">
        <f>163806953.62/1000</f>
        <v>163806.95362000001</v>
      </c>
      <c r="G67" s="24">
        <f t="shared" si="15"/>
        <v>99.051663365266421</v>
      </c>
      <c r="H67" s="38">
        <f t="shared" si="2"/>
        <v>99.051663365266421</v>
      </c>
      <c r="I67" s="10">
        <f t="shared" si="3"/>
        <v>61355.919479999982</v>
      </c>
      <c r="J67" s="10">
        <f t="shared" si="4"/>
        <v>0.37456236212251204</v>
      </c>
    </row>
    <row r="68" spans="1:10" s="15" customFormat="1">
      <c r="A68" s="13" t="s">
        <v>60</v>
      </c>
      <c r="B68" s="14">
        <f>SUM(B69:B70)</f>
        <v>119770.67369</v>
      </c>
      <c r="C68" s="14">
        <f>SUM(C69:C70)</f>
        <v>119138.85381999999</v>
      </c>
      <c r="D68" s="24">
        <f t="shared" si="0"/>
        <v>99.472475314253188</v>
      </c>
      <c r="E68" s="14">
        <f>SUM(E69:E70)</f>
        <v>106623.84727</v>
      </c>
      <c r="F68" s="14">
        <f>SUM(F69:F70)</f>
        <v>106623.84727</v>
      </c>
      <c r="G68" s="24">
        <f t="shared" si="15"/>
        <v>100</v>
      </c>
      <c r="H68" s="38">
        <f t="shared" si="2"/>
        <v>100</v>
      </c>
      <c r="I68" s="10">
        <f t="shared" si="3"/>
        <v>12515.006549999991</v>
      </c>
      <c r="J68" s="10">
        <f t="shared" si="4"/>
        <v>0.11737530459118267</v>
      </c>
    </row>
    <row r="69" spans="1:10" s="15" customFormat="1">
      <c r="A69" s="13" t="s">
        <v>61</v>
      </c>
      <c r="B69" s="14">
        <f>119770673.69/1000</f>
        <v>119770.67369</v>
      </c>
      <c r="C69" s="14">
        <f>119138853.82/1000</f>
        <v>119138.85381999999</v>
      </c>
      <c r="D69" s="24">
        <f t="shared" ref="D69" si="17">C69/B69*100</f>
        <v>99.472475314253188</v>
      </c>
      <c r="E69" s="14">
        <f>106623847.27/1000</f>
        <v>106623.84727</v>
      </c>
      <c r="F69" s="14">
        <f>106623847.27/1000</f>
        <v>106623.84727</v>
      </c>
      <c r="G69" s="24">
        <f t="shared" si="15"/>
        <v>100</v>
      </c>
      <c r="H69" s="38">
        <f t="shared" si="2"/>
        <v>100</v>
      </c>
      <c r="I69" s="10">
        <f t="shared" si="3"/>
        <v>12515.006549999991</v>
      </c>
      <c r="J69" s="10">
        <f t="shared" si="4"/>
        <v>0.11737530459118267</v>
      </c>
    </row>
    <row r="70" spans="1:10" s="15" customFormat="1">
      <c r="A70" s="13" t="s">
        <v>62</v>
      </c>
      <c r="B70" s="14">
        <v>0</v>
      </c>
      <c r="C70" s="14">
        <v>0</v>
      </c>
      <c r="D70" s="24">
        <v>0</v>
      </c>
      <c r="E70" s="14">
        <v>0</v>
      </c>
      <c r="F70" s="14">
        <v>0</v>
      </c>
      <c r="G70" s="24">
        <v>0</v>
      </c>
      <c r="H70" s="38">
        <v>0</v>
      </c>
      <c r="I70" s="10">
        <f t="shared" si="3"/>
        <v>0</v>
      </c>
      <c r="J70" s="10">
        <v>0</v>
      </c>
    </row>
    <row r="71" spans="1:10" s="15" customFormat="1">
      <c r="A71" s="13" t="s">
        <v>63</v>
      </c>
      <c r="B71" s="14">
        <f>SUM(B72:B75)</f>
        <v>1564523.93285</v>
      </c>
      <c r="C71" s="14">
        <f>SUM(C72:C75)</f>
        <v>1424086.7523000001</v>
      </c>
      <c r="D71" s="24">
        <f t="shared" si="0"/>
        <v>91.023647666790623</v>
      </c>
      <c r="E71" s="14">
        <f>SUM(E72:E75)</f>
        <v>1222359.78938</v>
      </c>
      <c r="F71" s="14">
        <f>SUM(F72:F75)</f>
        <v>1120571.97227</v>
      </c>
      <c r="G71" s="24">
        <f t="shared" ref="G71:G79" si="18">F71/E71*100</f>
        <v>91.672843135519997</v>
      </c>
      <c r="H71" s="38">
        <f t="shared" si="2"/>
        <v>91.672843135519997</v>
      </c>
      <c r="I71" s="10">
        <f t="shared" si="3"/>
        <v>303514.78003000002</v>
      </c>
      <c r="J71" s="10">
        <f t="shared" si="4"/>
        <v>0.27085701547144231</v>
      </c>
    </row>
    <row r="72" spans="1:10" s="15" customFormat="1">
      <c r="A72" s="13" t="s">
        <v>64</v>
      </c>
      <c r="B72" s="14">
        <f>53654500/1000</f>
        <v>53654.5</v>
      </c>
      <c r="C72" s="14">
        <f>53628408/1000</f>
        <v>53628.408000000003</v>
      </c>
      <c r="D72" s="24">
        <f t="shared" si="0"/>
        <v>99.951370341723447</v>
      </c>
      <c r="E72" s="14">
        <f>47992000/1000</f>
        <v>47992</v>
      </c>
      <c r="F72" s="14">
        <f>47921714/1000</f>
        <v>47921.714</v>
      </c>
      <c r="G72" s="24">
        <f t="shared" si="18"/>
        <v>99.853546424404072</v>
      </c>
      <c r="H72" s="38">
        <f t="shared" si="2"/>
        <v>99.853546424404072</v>
      </c>
      <c r="I72" s="10">
        <f t="shared" si="3"/>
        <v>5706.6940000000031</v>
      </c>
      <c r="J72" s="10">
        <f t="shared" si="4"/>
        <v>0.11908367885172061</v>
      </c>
    </row>
    <row r="73" spans="1:10" s="15" customFormat="1">
      <c r="A73" s="13" t="s">
        <v>65</v>
      </c>
      <c r="B73" s="14">
        <f>643835660/1000</f>
        <v>643835.66</v>
      </c>
      <c r="C73" s="14">
        <f>590407209.06/1000</f>
        <v>590407.20905999991</v>
      </c>
      <c r="D73" s="24">
        <f t="shared" si="0"/>
        <v>91.701539032491596</v>
      </c>
      <c r="E73" s="14">
        <f>592205480/1000</f>
        <v>592205.48</v>
      </c>
      <c r="F73" s="14">
        <f>528437341.16/1000</f>
        <v>528437.34116000007</v>
      </c>
      <c r="G73" s="24">
        <f t="shared" si="18"/>
        <v>89.232092408195896</v>
      </c>
      <c r="H73" s="38">
        <f t="shared" si="2"/>
        <v>89.232092408195896</v>
      </c>
      <c r="I73" s="10">
        <f t="shared" si="3"/>
        <v>61969.867899999837</v>
      </c>
      <c r="J73" s="10">
        <f t="shared" si="4"/>
        <v>0.11727003955467376</v>
      </c>
    </row>
    <row r="74" spans="1:10" s="15" customFormat="1">
      <c r="A74" s="13" t="s">
        <v>66</v>
      </c>
      <c r="B74" s="14">
        <f>749771565.85/1000</f>
        <v>749771.56585000001</v>
      </c>
      <c r="C74" s="14">
        <f>669112236.73/1000</f>
        <v>669112.23673</v>
      </c>
      <c r="D74" s="24">
        <f t="shared" ref="D74:D92" si="19">C74/B74*100</f>
        <v>89.242146169072413</v>
      </c>
      <c r="E74" s="14">
        <f>484373082.18/1000</f>
        <v>484373.08218000003</v>
      </c>
      <c r="F74" s="14">
        <f>449274009.97/1000</f>
        <v>449274.00997000001</v>
      </c>
      <c r="G74" s="24">
        <f t="shared" si="18"/>
        <v>92.753711240098042</v>
      </c>
      <c r="H74" s="38">
        <f t="shared" si="2"/>
        <v>92.753711240098042</v>
      </c>
      <c r="I74" s="10">
        <f t="shared" si="3"/>
        <v>219838.22675999999</v>
      </c>
      <c r="J74" s="10">
        <f t="shared" si="4"/>
        <v>0.48931881631585933</v>
      </c>
    </row>
    <row r="75" spans="1:10" s="15" customFormat="1">
      <c r="A75" s="13" t="s">
        <v>67</v>
      </c>
      <c r="B75" s="14">
        <f>117262207/1000</f>
        <v>117262.20699999999</v>
      </c>
      <c r="C75" s="14">
        <f>110938898.51/1000</f>
        <v>110938.89851</v>
      </c>
      <c r="D75" s="24">
        <f t="shared" si="19"/>
        <v>94.607547775388539</v>
      </c>
      <c r="E75" s="14">
        <f>97789227.2/1000</f>
        <v>97789.227200000008</v>
      </c>
      <c r="F75" s="14">
        <f>94938907.14/1000</f>
        <v>94938.907139999996</v>
      </c>
      <c r="G75" s="24">
        <f t="shared" si="18"/>
        <v>97.085241246287296</v>
      </c>
      <c r="H75" s="38">
        <f t="shared" ref="H75:H92" si="20">F75/E75*100</f>
        <v>97.085241246287296</v>
      </c>
      <c r="I75" s="10">
        <f t="shared" ref="I75:I92" si="21">C75-F75</f>
        <v>15999.991370000003</v>
      </c>
      <c r="J75" s="10">
        <f t="shared" ref="J75:J92" si="22">I75/F75</f>
        <v>0.16852934009874262</v>
      </c>
    </row>
    <row r="76" spans="1:10" s="15" customFormat="1">
      <c r="A76" s="13" t="s">
        <v>68</v>
      </c>
      <c r="B76" s="14">
        <f>SUM(B77:B80)</f>
        <v>742210.85184000002</v>
      </c>
      <c r="C76" s="14">
        <f>SUM(C77:C80)</f>
        <v>656251.45206000004</v>
      </c>
      <c r="D76" s="24">
        <f t="shared" si="19"/>
        <v>88.418466320332058</v>
      </c>
      <c r="E76" s="14">
        <f>SUM(E77:E80)</f>
        <v>1205822.60775</v>
      </c>
      <c r="F76" s="14">
        <f>SUM(F77:F80)</f>
        <v>860986.58156999992</v>
      </c>
      <c r="G76" s="24">
        <f t="shared" si="18"/>
        <v>71.4024248704836</v>
      </c>
      <c r="H76" s="38">
        <f t="shared" si="20"/>
        <v>71.4024248704836</v>
      </c>
      <c r="I76" s="10">
        <f t="shared" si="21"/>
        <v>-204735.12950999988</v>
      </c>
      <c r="J76" s="10">
        <f t="shared" si="22"/>
        <v>-0.23779131277129492</v>
      </c>
    </row>
    <row r="77" spans="1:10" s="15" customFormat="1">
      <c r="A77" s="13" t="s">
        <v>69</v>
      </c>
      <c r="B77" s="14">
        <f>490856218.61/1000</f>
        <v>490856.21861000004</v>
      </c>
      <c r="C77" s="14">
        <f>406674806.39/1000</f>
        <v>406674.80638999998</v>
      </c>
      <c r="D77" s="24">
        <f t="shared" si="19"/>
        <v>82.85008745363686</v>
      </c>
      <c r="E77" s="14">
        <f>742932776.39/1000</f>
        <v>742932.77639000001</v>
      </c>
      <c r="F77" s="14">
        <f>495602604.72/1000</f>
        <v>495602.60472</v>
      </c>
      <c r="G77" s="24">
        <f t="shared" si="18"/>
        <v>66.708943321654601</v>
      </c>
      <c r="H77" s="38">
        <f t="shared" si="20"/>
        <v>66.708943321654601</v>
      </c>
      <c r="I77" s="10">
        <f t="shared" si="21"/>
        <v>-88927.79833000002</v>
      </c>
      <c r="J77" s="10">
        <f t="shared" si="22"/>
        <v>-0.17943367827988202</v>
      </c>
    </row>
    <row r="78" spans="1:10" s="15" customFormat="1">
      <c r="A78" s="13" t="s">
        <v>70</v>
      </c>
      <c r="B78" s="14">
        <f>249281077.67/1000</f>
        <v>249281.07767</v>
      </c>
      <c r="C78" s="14">
        <f>247503090.11/1000</f>
        <v>247503.09011000002</v>
      </c>
      <c r="D78" s="24">
        <f t="shared" si="19"/>
        <v>99.286753901812915</v>
      </c>
      <c r="E78" s="14">
        <f>460768942.47/1000</f>
        <v>460768.94247000001</v>
      </c>
      <c r="F78" s="14">
        <f>363263087.96/1000</f>
        <v>363263.08795999998</v>
      </c>
      <c r="G78" s="24">
        <f t="shared" si="18"/>
        <v>78.838449052727015</v>
      </c>
      <c r="H78" s="38">
        <v>0</v>
      </c>
      <c r="I78" s="10">
        <f t="shared" si="21"/>
        <v>-115759.99784999996</v>
      </c>
      <c r="J78" s="10">
        <f t="shared" si="22"/>
        <v>-0.31866710845872304</v>
      </c>
    </row>
    <row r="79" spans="1:10" s="15" customFormat="1">
      <c r="A79" s="13" t="s">
        <v>93</v>
      </c>
      <c r="B79" s="14">
        <f>2073555.56/1000</f>
        <v>2073.5555600000002</v>
      </c>
      <c r="C79" s="14">
        <f>2073555.56/1000</f>
        <v>2073.5555600000002</v>
      </c>
      <c r="D79" s="24">
        <f t="shared" si="19"/>
        <v>100</v>
      </c>
      <c r="E79" s="14">
        <f>2120888.89/1000</f>
        <v>2120.8888900000002</v>
      </c>
      <c r="F79" s="14">
        <f>2120888.89/1000</f>
        <v>2120.8888900000002</v>
      </c>
      <c r="G79" s="24">
        <f t="shared" si="18"/>
        <v>100</v>
      </c>
      <c r="H79" s="38">
        <v>0</v>
      </c>
      <c r="I79" s="10">
        <f t="shared" si="21"/>
        <v>-47.333329999999933</v>
      </c>
      <c r="J79" s="10">
        <f t="shared" si="22"/>
        <v>-2.2317684921250133E-2</v>
      </c>
    </row>
    <row r="80" spans="1:10" s="15" customFormat="1" ht="37.5">
      <c r="A80" s="13" t="s">
        <v>71</v>
      </c>
      <c r="B80" s="14">
        <v>0</v>
      </c>
      <c r="C80" s="14">
        <v>0</v>
      </c>
      <c r="D80" s="24">
        <v>0</v>
      </c>
      <c r="E80" s="14">
        <v>0</v>
      </c>
      <c r="F80" s="14">
        <v>0</v>
      </c>
      <c r="G80" s="24">
        <v>0</v>
      </c>
      <c r="H80" s="38">
        <v>0</v>
      </c>
      <c r="I80" s="10">
        <f t="shared" si="21"/>
        <v>0</v>
      </c>
      <c r="J80" s="10">
        <v>0</v>
      </c>
    </row>
    <row r="81" spans="1:12" s="15" customFormat="1">
      <c r="A81" s="13" t="s">
        <v>72</v>
      </c>
      <c r="B81" s="14">
        <f>SUM(B82:B83)</f>
        <v>43200</v>
      </c>
      <c r="C81" s="14">
        <f>SUM(C82:C83)</f>
        <v>43200</v>
      </c>
      <c r="D81" s="24">
        <f t="shared" si="19"/>
        <v>100</v>
      </c>
      <c r="E81" s="14">
        <f>SUM(E82:E83)</f>
        <v>42600</v>
      </c>
      <c r="F81" s="14">
        <f>SUM(F82:F83)</f>
        <v>42600</v>
      </c>
      <c r="G81" s="24">
        <f t="shared" ref="G81:G83" si="23">F81/E81*100</f>
        <v>100</v>
      </c>
      <c r="H81" s="38">
        <f t="shared" si="20"/>
        <v>100</v>
      </c>
      <c r="I81" s="10">
        <f t="shared" si="21"/>
        <v>600</v>
      </c>
      <c r="J81" s="10">
        <f t="shared" si="22"/>
        <v>1.4084507042253521E-2</v>
      </c>
    </row>
    <row r="82" spans="1:12" s="15" customFormat="1">
      <c r="A82" s="13" t="s">
        <v>87</v>
      </c>
      <c r="B82" s="14">
        <f>25000000/1000</f>
        <v>25000</v>
      </c>
      <c r="C82" s="14">
        <f>25000000/1000</f>
        <v>25000</v>
      </c>
      <c r="D82" s="24">
        <f t="shared" si="19"/>
        <v>100</v>
      </c>
      <c r="E82" s="14">
        <f>25000000/1000</f>
        <v>25000</v>
      </c>
      <c r="F82" s="14">
        <f>25000000/1000</f>
        <v>25000</v>
      </c>
      <c r="G82" s="24">
        <f t="shared" si="23"/>
        <v>100</v>
      </c>
      <c r="H82" s="38">
        <f t="shared" si="20"/>
        <v>100</v>
      </c>
      <c r="I82" s="10">
        <f t="shared" si="21"/>
        <v>0</v>
      </c>
      <c r="J82" s="10">
        <f t="shared" si="22"/>
        <v>0</v>
      </c>
    </row>
    <row r="83" spans="1:12" s="15" customFormat="1">
      <c r="A83" s="13" t="s">
        <v>73</v>
      </c>
      <c r="B83" s="14">
        <f>18200000/1000</f>
        <v>18200</v>
      </c>
      <c r="C83" s="14">
        <f>18200000/1000</f>
        <v>18200</v>
      </c>
      <c r="D83" s="24">
        <f t="shared" si="19"/>
        <v>100</v>
      </c>
      <c r="E83" s="14">
        <f>17600000/1000</f>
        <v>17600</v>
      </c>
      <c r="F83" s="14">
        <f>17600000/1000</f>
        <v>17600</v>
      </c>
      <c r="G83" s="24">
        <f t="shared" si="23"/>
        <v>100</v>
      </c>
      <c r="H83" s="38">
        <f t="shared" si="20"/>
        <v>100</v>
      </c>
      <c r="I83" s="10">
        <f t="shared" si="21"/>
        <v>600</v>
      </c>
      <c r="J83" s="10">
        <f t="shared" si="22"/>
        <v>3.4090909090909088E-2</v>
      </c>
    </row>
    <row r="84" spans="1:12" s="15" customFormat="1" ht="37.5">
      <c r="A84" s="13" t="s">
        <v>74</v>
      </c>
      <c r="B84" s="37">
        <v>0</v>
      </c>
      <c r="C84" s="37">
        <v>0</v>
      </c>
      <c r="D84" s="24">
        <v>0</v>
      </c>
      <c r="E84" s="37">
        <v>0</v>
      </c>
      <c r="F84" s="37">
        <v>0</v>
      </c>
      <c r="G84" s="24">
        <v>0</v>
      </c>
      <c r="H84" s="38">
        <v>0</v>
      </c>
      <c r="I84" s="10">
        <f t="shared" si="21"/>
        <v>0</v>
      </c>
      <c r="J84" s="10">
        <v>0</v>
      </c>
    </row>
    <row r="85" spans="1:12" s="15" customFormat="1" ht="37.5">
      <c r="A85" s="13" t="s">
        <v>75</v>
      </c>
      <c r="B85" s="37">
        <v>0</v>
      </c>
      <c r="C85" s="37">
        <v>0</v>
      </c>
      <c r="D85" s="24">
        <v>0</v>
      </c>
      <c r="E85" s="37">
        <v>0</v>
      </c>
      <c r="F85" s="37">
        <v>0</v>
      </c>
      <c r="G85" s="24">
        <v>0</v>
      </c>
      <c r="H85" s="38">
        <v>0</v>
      </c>
      <c r="I85" s="10">
        <f t="shared" si="21"/>
        <v>0</v>
      </c>
      <c r="J85" s="10">
        <v>0</v>
      </c>
    </row>
    <row r="86" spans="1:12" s="15" customFormat="1" ht="56.25">
      <c r="A86" s="13" t="s">
        <v>76</v>
      </c>
      <c r="B86" s="14">
        <f>SUM(B87:B88)</f>
        <v>1310052.2157000001</v>
      </c>
      <c r="C86" s="14">
        <f>SUM(C87:C88)</f>
        <v>1269448.6274600001</v>
      </c>
      <c r="D86" s="24">
        <f t="shared" si="19"/>
        <v>96.900612986765239</v>
      </c>
      <c r="E86" s="14">
        <f>SUM(E87:E88)</f>
        <v>1384584.7</v>
      </c>
      <c r="F86" s="14">
        <f>SUM(F87:F88)</f>
        <v>1203132.3886199999</v>
      </c>
      <c r="G86" s="24">
        <f t="shared" ref="G86" si="24">F86/E86*100</f>
        <v>86.894820419436954</v>
      </c>
      <c r="H86" s="38">
        <f t="shared" si="20"/>
        <v>86.894820419436954</v>
      </c>
      <c r="I86" s="10">
        <f t="shared" si="21"/>
        <v>66316.238840000238</v>
      </c>
      <c r="J86" s="10">
        <f t="shared" si="22"/>
        <v>5.5119652223863218E-2</v>
      </c>
    </row>
    <row r="87" spans="1:12" s="15" customFormat="1" ht="56.25">
      <c r="A87" s="13" t="s">
        <v>77</v>
      </c>
      <c r="B87" s="14">
        <f>720332200/1000</f>
        <v>720332.2</v>
      </c>
      <c r="C87" s="14">
        <f>720332200/1000</f>
        <v>720332.2</v>
      </c>
      <c r="D87" s="24">
        <f t="shared" si="19"/>
        <v>100</v>
      </c>
      <c r="E87" s="14">
        <f>655084700/1000</f>
        <v>655084.69999999995</v>
      </c>
      <c r="F87" s="14">
        <f>655084700/1000</f>
        <v>655084.69999999995</v>
      </c>
      <c r="G87" s="24">
        <v>0</v>
      </c>
      <c r="H87" s="38">
        <f t="shared" si="20"/>
        <v>100</v>
      </c>
      <c r="I87" s="10">
        <f t="shared" si="21"/>
        <v>65247.5</v>
      </c>
      <c r="J87" s="10">
        <f t="shared" si="22"/>
        <v>9.9601624034266104E-2</v>
      </c>
    </row>
    <row r="88" spans="1:12" s="15" customFormat="1">
      <c r="A88" s="13" t="s">
        <v>78</v>
      </c>
      <c r="B88" s="14">
        <f>589720015.7/1000</f>
        <v>589720.01570000011</v>
      </c>
      <c r="C88" s="14">
        <f>549116427.46/1000</f>
        <v>549116.42746000004</v>
      </c>
      <c r="D88" s="24">
        <f t="shared" si="19"/>
        <v>93.11476850725451</v>
      </c>
      <c r="E88" s="14">
        <f>729500000/1000</f>
        <v>729500</v>
      </c>
      <c r="F88" s="14">
        <f>548047688.62/1000</f>
        <v>548047.68862000003</v>
      </c>
      <c r="G88" s="24">
        <f t="shared" ref="G88:G90" si="25">F88/E88*100</f>
        <v>75.126482333104875</v>
      </c>
      <c r="H88" s="38">
        <f t="shared" si="20"/>
        <v>75.126482333104875</v>
      </c>
      <c r="I88" s="10">
        <f t="shared" si="21"/>
        <v>1068.7388400000054</v>
      </c>
      <c r="J88" s="10">
        <f t="shared" si="22"/>
        <v>1.950083655477356E-3</v>
      </c>
    </row>
    <row r="89" spans="1:12" s="15" customFormat="1">
      <c r="A89" s="16" t="s">
        <v>79</v>
      </c>
      <c r="B89" s="17">
        <f>-566934132.9/1000</f>
        <v>-566934.13289999997</v>
      </c>
      <c r="C89" s="17">
        <f>273755946.09/1000</f>
        <v>273755.94608999998</v>
      </c>
      <c r="D89" s="24">
        <f t="shared" si="19"/>
        <v>-48.287081373928686</v>
      </c>
      <c r="E89" s="17">
        <f>-429680912.35/1000</f>
        <v>-429680.91235</v>
      </c>
      <c r="F89" s="17">
        <f>1255303210.14/1000</f>
        <v>1255303.2101400001</v>
      </c>
      <c r="G89" s="24">
        <f t="shared" si="25"/>
        <v>-292.14777153458539</v>
      </c>
      <c r="H89" s="38">
        <f t="shared" si="20"/>
        <v>-292.14777153458539</v>
      </c>
      <c r="I89" s="10">
        <f t="shared" si="21"/>
        <v>-981547.26405000011</v>
      </c>
      <c r="J89" s="10">
        <f t="shared" si="22"/>
        <v>-0.78192046042846586</v>
      </c>
      <c r="K89" s="30"/>
      <c r="L89" s="30"/>
    </row>
    <row r="90" spans="1:12">
      <c r="A90" s="18" t="s">
        <v>80</v>
      </c>
      <c r="B90" s="8">
        <f>566934132.9/1000</f>
        <v>566934.13289999997</v>
      </c>
      <c r="C90" s="8">
        <f>-273755946.09/1000</f>
        <v>-273755.94608999998</v>
      </c>
      <c r="D90" s="24">
        <f t="shared" si="19"/>
        <v>-48.287081373928686</v>
      </c>
      <c r="E90" s="8">
        <f>429680912.35/1000</f>
        <v>429680.91235</v>
      </c>
      <c r="F90" s="8">
        <f>-1255303210.14/1000</f>
        <v>-1255303.2101400001</v>
      </c>
      <c r="G90" s="24">
        <f t="shared" si="25"/>
        <v>-292.14777153458539</v>
      </c>
      <c r="H90" s="38">
        <f t="shared" si="20"/>
        <v>-292.14777153458539</v>
      </c>
      <c r="I90" s="10">
        <f t="shared" si="21"/>
        <v>981547.26405000011</v>
      </c>
      <c r="J90" s="10">
        <f t="shared" si="22"/>
        <v>-0.78192046042846586</v>
      </c>
      <c r="K90" s="26"/>
    </row>
    <row r="91" spans="1:12">
      <c r="A91" s="20" t="s">
        <v>81</v>
      </c>
      <c r="B91" s="12"/>
      <c r="C91" s="12"/>
      <c r="D91" s="24"/>
      <c r="E91" s="12"/>
      <c r="F91" s="12"/>
      <c r="G91" s="25"/>
      <c r="H91" s="38"/>
      <c r="I91" s="10"/>
      <c r="J91" s="10"/>
    </row>
    <row r="92" spans="1:12">
      <c r="A92" s="21" t="s">
        <v>82</v>
      </c>
      <c r="B92" s="14">
        <f>0/1000</f>
        <v>0</v>
      </c>
      <c r="C92" s="14">
        <f>-23300000/1000</f>
        <v>-23300</v>
      </c>
      <c r="D92" s="24">
        <v>0</v>
      </c>
      <c r="E92" s="14">
        <f>-200000000/1000</f>
        <v>-200000</v>
      </c>
      <c r="F92" s="14">
        <f>-30000000/1000</f>
        <v>-30000</v>
      </c>
      <c r="G92" s="24">
        <v>0</v>
      </c>
      <c r="H92" s="38">
        <f t="shared" si="20"/>
        <v>15</v>
      </c>
      <c r="I92" s="10">
        <f t="shared" si="21"/>
        <v>6700</v>
      </c>
      <c r="J92" s="10">
        <f t="shared" si="22"/>
        <v>-0.22333333333333333</v>
      </c>
    </row>
    <row r="94" spans="1:12">
      <c r="B94" s="26"/>
      <c r="J94" s="26"/>
      <c r="K94" s="26"/>
    </row>
  </sheetData>
  <mergeCells count="8">
    <mergeCell ref="J4:J6"/>
    <mergeCell ref="A4:A6"/>
    <mergeCell ref="D5:D6"/>
    <mergeCell ref="A1:J3"/>
    <mergeCell ref="B4:D4"/>
    <mergeCell ref="E4:H4"/>
    <mergeCell ref="H5:H6"/>
    <mergeCell ref="I4:I6"/>
  </mergeCells>
  <pageMargins left="0.78749999999999998" right="0.3152778" top="0.59027779999999996" bottom="0.39374999999999999" header="0" footer="0"/>
  <pageSetup paperSize="9" scale="45" orientation="landscape" r:id="rId1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C71A793-A51F-445A-B547-6325289BFDA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Информация</vt:lpstr>
      <vt:lpstr>Информация!Заголовки_для_печати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Карине Мазур</dc:creator>
  <cp:lastModifiedBy>Марфа Дмитриевна</cp:lastModifiedBy>
  <cp:lastPrinted>2023-03-23T14:38:51Z</cp:lastPrinted>
  <dcterms:created xsi:type="dcterms:W3CDTF">2019-10-28T07:22:02Z</dcterms:created>
  <dcterms:modified xsi:type="dcterms:W3CDTF">2024-03-26T12:31:49Z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SV_0503317G_20160101_2.xlsx</vt:lpwstr>
  </property>
  <property fmtid="{D5CDD505-2E9C-101B-9397-08002B2CF9AE}" pid="3" name="Название отчета">
    <vt:lpwstr>SV_0503317G_20160101_2.xlsx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мазурка</vt:lpwstr>
  </property>
  <property fmtid="{D5CDD505-2E9C-101B-9397-08002B2CF9AE}" pid="10" name="Шаблон">
    <vt:lpwstr>SV_0503317G_20160101</vt:lpwstr>
  </property>
  <property fmtid="{D5CDD505-2E9C-101B-9397-08002B2CF9AE}" pid="11" name="Локальная база">
    <vt:lpwstr>используется</vt:lpwstr>
  </property>
</Properties>
</file>